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35" windowHeight="10485" activeTab="0"/>
  </bookViews>
  <sheets>
    <sheet name="LEAF Energy Use Prediction" sheetId="1" r:id="rId1"/>
    <sheet name="gids-bars" sheetId="2" r:id="rId2"/>
  </sheets>
  <definedNames/>
  <calcPr fullCalcOnLoad="1"/>
</workbook>
</file>

<file path=xl/sharedStrings.xml><?xml version="1.0" encoding="utf-8"?>
<sst xmlns="http://schemas.openxmlformats.org/spreadsheetml/2006/main" count="42" uniqueCount="34">
  <si>
    <t>home</t>
  </si>
  <si>
    <t>Sultan</t>
  </si>
  <si>
    <t>Skykomish</t>
  </si>
  <si>
    <t>Leavenworth</t>
  </si>
  <si>
    <t>miles</t>
  </si>
  <si>
    <t>elev</t>
  </si>
  <si>
    <t>Wenatchee</t>
  </si>
  <si>
    <t>(summit)</t>
  </si>
  <si>
    <t>to get there...</t>
  </si>
  <si>
    <t>uphill: kWh / 1000'</t>
  </si>
  <si>
    <t>down: kWh / 1000'</t>
  </si>
  <si>
    <t>kWh</t>
  </si>
  <si>
    <t>total</t>
  </si>
  <si>
    <t>arrive</t>
  </si>
  <si>
    <t>depart</t>
  </si>
  <si>
    <t>Variables...</t>
  </si>
  <si>
    <t>SOC</t>
  </si>
  <si>
    <t>bars</t>
  </si>
  <si>
    <t>leg (usage)</t>
  </si>
  <si>
    <t>Wh/mi</t>
  </si>
  <si>
    <t>SOC %</t>
  </si>
  <si>
    <t>gids</t>
  </si>
  <si>
    <t>gid</t>
  </si>
  <si>
    <t>"flat" Wh / mi</t>
  </si>
  <si>
    <t>rain Wh / mi</t>
  </si>
  <si>
    <t>rain</t>
  </si>
  <si>
    <t>Cells with highlighting are variables that you can change to affect the calculations.</t>
  </si>
  <si>
    <t>Green cells are parameters used to calculate expected energy use.</t>
  </si>
  <si>
    <r>
      <t>D</t>
    </r>
    <r>
      <rPr>
        <b/>
        <sz val="10"/>
        <rFont val="Arial"/>
        <family val="0"/>
      </rPr>
      <t xml:space="preserve"> elev</t>
    </r>
  </si>
  <si>
    <t>Fill in yellow cells to describe the details of the trip.</t>
  </si>
  <si>
    <t>Delete the value in blue cells to remove the rain penalty from the calculation.</t>
  </si>
  <si>
    <t>Fill in the orange cells with the target departure SOC value.</t>
  </si>
  <si>
    <t>This sheet is used in the energy use calculations; do not delete it!</t>
  </si>
  <si>
    <t>bottom of bar...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</si>
</sst>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ddd\,\ mmmm\ dd\,\ yyyy"/>
    <numFmt numFmtId="167" formatCode="m/d;@"/>
    <numFmt numFmtId="168" formatCode="hh:mm\ AM/PM"/>
    <numFmt numFmtId="169" formatCode="[$-409]h:mm:ss\ AM/PM"/>
    <numFmt numFmtId="170" formatCode="[$-409]h:mm\ AM/PM;@"/>
    <numFmt numFmtId="171" formatCode="0.0%"/>
    <numFmt numFmtId="172" formatCode="h:mm;@"/>
    <numFmt numFmtId="173" formatCode="#,##0.0"/>
  </numFmts>
  <fonts count="24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4" borderId="0" xfId="0" applyFill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64" fontId="0" fillId="0" borderId="11" xfId="0" applyNumberFormat="1" applyFill="1" applyBorder="1" applyAlignment="1">
      <alignment/>
    </xf>
    <xf numFmtId="0" fontId="0" fillId="22" borderId="0" xfId="0" applyFill="1" applyAlignment="1">
      <alignment/>
    </xf>
    <xf numFmtId="0" fontId="0" fillId="22" borderId="10" xfId="0" applyFill="1" applyBorder="1" applyAlignment="1">
      <alignment/>
    </xf>
    <xf numFmtId="2" fontId="0" fillId="24" borderId="0" xfId="0" applyNumberFormat="1" applyFill="1" applyBorder="1" applyAlignment="1">
      <alignment/>
    </xf>
    <xf numFmtId="164" fontId="0" fillId="7" borderId="11" xfId="0" applyNumberFormat="1" applyFill="1" applyBorder="1" applyAlignment="1">
      <alignment/>
    </xf>
    <xf numFmtId="164" fontId="0" fillId="7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23" fillId="0" borderId="11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7.7109375" style="0" customWidth="1"/>
    <col min="3" max="4" width="6.7109375" style="0" customWidth="1"/>
    <col min="5" max="8" width="6.7109375" style="5" customWidth="1"/>
    <col min="9" max="9" width="5.7109375" style="11" customWidth="1"/>
    <col min="10" max="12" width="6.7109375" style="3" customWidth="1"/>
    <col min="13" max="14" width="7.7109375" style="3" customWidth="1"/>
    <col min="15" max="18" width="6.7109375" style="11" customWidth="1"/>
    <col min="19" max="19" width="28.7109375" style="0" customWidth="1"/>
  </cols>
  <sheetData>
    <row r="2" spans="1:5" ht="12.75">
      <c r="A2" s="4" t="s">
        <v>15</v>
      </c>
      <c r="E2" s="41" t="s">
        <v>26</v>
      </c>
    </row>
    <row r="3" spans="1:5" ht="12.75">
      <c r="A3" t="s">
        <v>23</v>
      </c>
      <c r="B3" s="10">
        <v>250</v>
      </c>
      <c r="E3" s="5" t="s">
        <v>27</v>
      </c>
    </row>
    <row r="4" spans="1:5" ht="12.75">
      <c r="A4" t="s">
        <v>24</v>
      </c>
      <c r="B4" s="10">
        <v>20</v>
      </c>
      <c r="E4" s="5" t="s">
        <v>29</v>
      </c>
    </row>
    <row r="5" spans="1:5" ht="12.75">
      <c r="A5" t="s">
        <v>9</v>
      </c>
      <c r="B5" s="10">
        <v>1.5</v>
      </c>
      <c r="E5" s="5" t="s">
        <v>30</v>
      </c>
    </row>
    <row r="6" spans="1:5" ht="12.75">
      <c r="A6" t="s">
        <v>10</v>
      </c>
      <c r="B6" s="10">
        <v>1</v>
      </c>
      <c r="E6" s="5" t="s">
        <v>31</v>
      </c>
    </row>
    <row r="9" spans="2:18" ht="12.75">
      <c r="B9" s="25"/>
      <c r="C9" s="26" t="s">
        <v>8</v>
      </c>
      <c r="D9" s="27"/>
      <c r="E9" s="47" t="s">
        <v>11</v>
      </c>
      <c r="F9" s="48"/>
      <c r="G9" s="48"/>
      <c r="H9" s="49"/>
      <c r="I9" s="44" t="s">
        <v>18</v>
      </c>
      <c r="J9" s="45"/>
      <c r="K9" s="45"/>
      <c r="L9" s="46"/>
      <c r="M9" s="50" t="s">
        <v>20</v>
      </c>
      <c r="N9" s="51"/>
      <c r="O9" s="44" t="s">
        <v>21</v>
      </c>
      <c r="P9" s="46"/>
      <c r="Q9" s="44" t="s">
        <v>17</v>
      </c>
      <c r="R9" s="46"/>
    </row>
    <row r="10" spans="2:18" ht="12.75">
      <c r="B10" s="28" t="s">
        <v>5</v>
      </c>
      <c r="C10" s="29" t="s">
        <v>4</v>
      </c>
      <c r="D10" s="30" t="s">
        <v>28</v>
      </c>
      <c r="E10" s="31" t="s">
        <v>4</v>
      </c>
      <c r="F10" s="32" t="s">
        <v>25</v>
      </c>
      <c r="G10" s="32" t="s">
        <v>5</v>
      </c>
      <c r="H10" s="33" t="s">
        <v>12</v>
      </c>
      <c r="I10" s="34" t="s">
        <v>22</v>
      </c>
      <c r="J10" s="35" t="s">
        <v>16</v>
      </c>
      <c r="K10" s="35" t="s">
        <v>17</v>
      </c>
      <c r="L10" s="36" t="s">
        <v>19</v>
      </c>
      <c r="M10" s="37" t="s">
        <v>13</v>
      </c>
      <c r="N10" s="38" t="s">
        <v>14</v>
      </c>
      <c r="O10" s="39" t="s">
        <v>13</v>
      </c>
      <c r="P10" s="40" t="s">
        <v>14</v>
      </c>
      <c r="Q10" s="39" t="s">
        <v>13</v>
      </c>
      <c r="R10" s="40" t="s">
        <v>14</v>
      </c>
    </row>
    <row r="11" spans="1:18" ht="12.75">
      <c r="A11" t="s">
        <v>0</v>
      </c>
      <c r="B11" s="20">
        <v>200</v>
      </c>
      <c r="C11" s="1"/>
      <c r="D11" s="2"/>
      <c r="E11" s="6"/>
      <c r="F11" s="7"/>
      <c r="G11" s="7"/>
      <c r="H11" s="8"/>
      <c r="I11" s="12"/>
      <c r="J11" s="9"/>
      <c r="K11" s="9"/>
      <c r="L11" s="15"/>
      <c r="M11" s="9"/>
      <c r="N11" s="23">
        <v>98</v>
      </c>
      <c r="O11" s="13"/>
      <c r="P11" s="14">
        <f>CEILING(N11/100*281,1)</f>
        <v>276</v>
      </c>
      <c r="Q11" s="13"/>
      <c r="R11" s="14">
        <f>VLOOKUP(P11,'gids-bars'!$A$2:$B$14,2)</f>
        <v>12</v>
      </c>
    </row>
    <row r="12" spans="1:18" ht="12.75">
      <c r="A12" t="s">
        <v>1</v>
      </c>
      <c r="B12" s="20">
        <v>200</v>
      </c>
      <c r="C12" s="21">
        <v>35</v>
      </c>
      <c r="D12" s="2">
        <f>B12-B11</f>
        <v>0</v>
      </c>
      <c r="E12" s="6">
        <f>$C12*$B$3/1000</f>
        <v>8.75</v>
      </c>
      <c r="F12" s="22">
        <f>$C12*$B$4/1000</f>
        <v>0.7</v>
      </c>
      <c r="G12" s="7">
        <f>D12/1000*IF(D12&gt;0,$B$5,$B$6)</f>
        <v>0</v>
      </c>
      <c r="H12" s="8">
        <f>SUM(E12:G12)</f>
        <v>9.45</v>
      </c>
      <c r="I12" s="12">
        <f>CEILING(H12/0.08,1)</f>
        <v>119</v>
      </c>
      <c r="J12" s="9">
        <f>I12/281*100</f>
        <v>42.34875444839858</v>
      </c>
      <c r="K12" s="9">
        <f>I12/20</f>
        <v>5.95</v>
      </c>
      <c r="L12" s="18">
        <f>H12/C12*1000</f>
        <v>269.99999999999994</v>
      </c>
      <c r="M12" s="9">
        <f>N11-J12</f>
        <v>55.65124555160142</v>
      </c>
      <c r="N12" s="23">
        <v>96</v>
      </c>
      <c r="O12" s="13">
        <f>P11-I12</f>
        <v>157</v>
      </c>
      <c r="P12" s="14">
        <f>CEILING(N12/100*281,1)</f>
        <v>270</v>
      </c>
      <c r="Q12" s="13">
        <f>VLOOKUP(O12,'gids-bars'!$A$2:$B$14,2)</f>
        <v>6</v>
      </c>
      <c r="R12" s="14">
        <f>VLOOKUP(P12,'gids-bars'!$A$2:$B$14,2)</f>
        <v>12</v>
      </c>
    </row>
    <row r="13" spans="1:18" ht="12.75">
      <c r="A13" t="s">
        <v>2</v>
      </c>
      <c r="B13" s="20">
        <v>1000</v>
      </c>
      <c r="C13" s="21">
        <v>26.5</v>
      </c>
      <c r="D13" s="2">
        <f>B13-B12</f>
        <v>800</v>
      </c>
      <c r="E13" s="6">
        <f>$C13*$B$3/1000</f>
        <v>6.625</v>
      </c>
      <c r="F13" s="22">
        <f>$C13*$B$4/1000</f>
        <v>0.53</v>
      </c>
      <c r="G13" s="7">
        <f>D13/1000*IF(D13&gt;0,$B$5,$B$6)</f>
        <v>1.2000000000000002</v>
      </c>
      <c r="H13" s="8">
        <f>SUM(E13:G13)</f>
        <v>8.355</v>
      </c>
      <c r="I13" s="12">
        <f>CEILING(H13/0.08,1)</f>
        <v>105</v>
      </c>
      <c r="J13" s="9">
        <f>I13/281*100</f>
        <v>37.36654804270463</v>
      </c>
      <c r="K13" s="9">
        <f>I13/20</f>
        <v>5.25</v>
      </c>
      <c r="L13" s="18">
        <f>H13/C13*1000</f>
        <v>315.2830188679245</v>
      </c>
      <c r="M13" s="9">
        <f>N12-J13</f>
        <v>58.63345195729537</v>
      </c>
      <c r="N13" s="23">
        <v>96</v>
      </c>
      <c r="O13" s="13">
        <f>P12-I13</f>
        <v>165</v>
      </c>
      <c r="P13" s="14">
        <f>CEILING(N13/100*281,1)</f>
        <v>270</v>
      </c>
      <c r="Q13" s="13">
        <f>VLOOKUP(O13,'gids-bars'!$A$2:$B$14,2)</f>
        <v>7</v>
      </c>
      <c r="R13" s="14">
        <f>VLOOKUP(P13,'gids-bars'!$A$2:$B$14,2)</f>
        <v>12</v>
      </c>
    </row>
    <row r="14" spans="1:18" ht="12.75">
      <c r="A14" t="s">
        <v>7</v>
      </c>
      <c r="B14" s="20">
        <v>4050</v>
      </c>
      <c r="C14" s="21">
        <v>16</v>
      </c>
      <c r="D14" s="2">
        <f>B14-B13</f>
        <v>3050</v>
      </c>
      <c r="E14" s="6">
        <f>$C14*$B$3/1000</f>
        <v>4</v>
      </c>
      <c r="F14" s="22">
        <f>$C14*$B$4/1000</f>
        <v>0.32</v>
      </c>
      <c r="G14" s="7">
        <f>D14/1000*IF(D14&gt;0,$B$5,$B$6)</f>
        <v>4.574999999999999</v>
      </c>
      <c r="H14" s="8">
        <f>SUM(E14:G14)</f>
        <v>8.895</v>
      </c>
      <c r="I14" s="12">
        <f>CEILING(H14/0.08,1)</f>
        <v>112</v>
      </c>
      <c r="J14" s="9">
        <f>I14/281*100</f>
        <v>39.8576512455516</v>
      </c>
      <c r="K14" s="9">
        <f>I14/20</f>
        <v>5.6</v>
      </c>
      <c r="L14" s="18">
        <f>H14/C14*1000</f>
        <v>555.9375</v>
      </c>
      <c r="M14" s="16">
        <f>N13-J14</f>
        <v>56.1423487544484</v>
      </c>
      <c r="N14" s="24">
        <f>M14</f>
        <v>56.1423487544484</v>
      </c>
      <c r="O14" s="17">
        <f>P13-I14</f>
        <v>158</v>
      </c>
      <c r="P14" s="14">
        <f>CEILING(N14/100*281,1)</f>
        <v>158</v>
      </c>
      <c r="Q14" s="13">
        <f>VLOOKUP(O14,'gids-bars'!$A$2:$B$14,2)</f>
        <v>6</v>
      </c>
      <c r="R14" s="14">
        <f>VLOOKUP(P14,'gids-bars'!$A$2:$B$14,2)</f>
        <v>6</v>
      </c>
    </row>
    <row r="15" spans="1:18" ht="12.75">
      <c r="A15" t="s">
        <v>3</v>
      </c>
      <c r="B15" s="20">
        <v>1200</v>
      </c>
      <c r="C15" s="21">
        <v>35.2</v>
      </c>
      <c r="D15" s="2">
        <f>B15-B14</f>
        <v>-2850</v>
      </c>
      <c r="E15" s="6">
        <f>$C15*$B$3/1000</f>
        <v>8.8</v>
      </c>
      <c r="F15" s="22">
        <f>$C15*$B$4/1000</f>
        <v>0.704</v>
      </c>
      <c r="G15" s="7">
        <f>D15/1000*IF(D15&gt;0,$B$5,$B$6)</f>
        <v>-2.85</v>
      </c>
      <c r="H15" s="8">
        <f>SUM(E15:G15)</f>
        <v>6.654000000000002</v>
      </c>
      <c r="I15" s="12">
        <f>CEILING(H15/0.08,1)</f>
        <v>84</v>
      </c>
      <c r="J15" s="9">
        <f>I15/281*100</f>
        <v>29.8932384341637</v>
      </c>
      <c r="K15" s="9">
        <f>I15/20</f>
        <v>4.2</v>
      </c>
      <c r="L15" s="18">
        <f>H15/C15*1000</f>
        <v>189.03409090909093</v>
      </c>
      <c r="M15" s="16">
        <f>N14-J15</f>
        <v>26.2491103202847</v>
      </c>
      <c r="N15" s="23">
        <v>80</v>
      </c>
      <c r="O15" s="17">
        <f>P14-I15</f>
        <v>74</v>
      </c>
      <c r="P15" s="14">
        <f>CEILING(N15/100*281,1)</f>
        <v>225</v>
      </c>
      <c r="Q15" s="13">
        <f>VLOOKUP(O15,'gids-bars'!$A$2:$B$14,2)</f>
        <v>2</v>
      </c>
      <c r="R15" s="14">
        <f>VLOOKUP(P15,'gids-bars'!$A$2:$B$14,2)</f>
        <v>10</v>
      </c>
    </row>
    <row r="16" spans="1:18" ht="12.75">
      <c r="A16" t="s">
        <v>6</v>
      </c>
      <c r="B16" s="20">
        <v>800</v>
      </c>
      <c r="C16" s="21">
        <v>22.4</v>
      </c>
      <c r="D16" s="2">
        <f>B16-B15</f>
        <v>-400</v>
      </c>
      <c r="E16" s="6">
        <f>$C16*$B$3/1000</f>
        <v>5.6</v>
      </c>
      <c r="F16" s="22">
        <f>$C16*$B$4/1000</f>
        <v>0.448</v>
      </c>
      <c r="G16" s="7">
        <f>D16/1000*IF(D16&gt;0,$B$5,$B$6)</f>
        <v>-0.4</v>
      </c>
      <c r="H16" s="8">
        <f>SUM(E16:G16)</f>
        <v>5.648</v>
      </c>
      <c r="I16" s="12">
        <f>CEILING(H16/0.08,1)</f>
        <v>71</v>
      </c>
      <c r="J16" s="9">
        <f>I16/281*100</f>
        <v>25.26690391459075</v>
      </c>
      <c r="K16" s="9">
        <f>I16/20</f>
        <v>3.55</v>
      </c>
      <c r="L16" s="18">
        <f>H16/C16*1000</f>
        <v>252.14285714285717</v>
      </c>
      <c r="M16" s="9">
        <f>N15-J16</f>
        <v>54.73309608540925</v>
      </c>
      <c r="N16" s="19"/>
      <c r="O16" s="13">
        <f>P15-I16</f>
        <v>154</v>
      </c>
      <c r="P16" s="14"/>
      <c r="Q16" s="13">
        <f>VLOOKUP(O16,'gids-bars'!$A$2:$B$14,2)</f>
        <v>6</v>
      </c>
      <c r="R16" s="14"/>
    </row>
  </sheetData>
  <mergeCells count="5">
    <mergeCell ref="I9:L9"/>
    <mergeCell ref="E9:H9"/>
    <mergeCell ref="Q9:R9"/>
    <mergeCell ref="M9:N9"/>
    <mergeCell ref="O9:P9"/>
  </mergeCells>
  <printOptions/>
  <pageMargins left="0.5" right="0.5" top="1" bottom="1" header="0.5" footer="0.5"/>
  <pageSetup fitToHeight="1" fitToWidth="1" horizontalDpi="1200" verticalDpi="12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"/>
    </sheetView>
  </sheetViews>
  <sheetFormatPr defaultColWidth="9.140625" defaultRowHeight="12.75"/>
  <cols>
    <col min="2" max="2" width="15.7109375" style="0" customWidth="1"/>
  </cols>
  <sheetData>
    <row r="1" spans="1:4" ht="12.75">
      <c r="A1" s="43" t="s">
        <v>21</v>
      </c>
      <c r="B1" s="42" t="s">
        <v>33</v>
      </c>
      <c r="D1" s="42" t="s">
        <v>32</v>
      </c>
    </row>
    <row r="2" spans="1:2" ht="12.75">
      <c r="A2">
        <v>0</v>
      </c>
      <c r="B2">
        <v>0</v>
      </c>
    </row>
    <row r="3" spans="1:2" ht="12.75">
      <c r="A3">
        <v>41</v>
      </c>
      <c r="B3">
        <v>1</v>
      </c>
    </row>
    <row r="4" spans="1:2" ht="12.75">
      <c r="A4">
        <v>59</v>
      </c>
      <c r="B4">
        <v>2</v>
      </c>
    </row>
    <row r="5" spans="1:2" ht="12.75">
      <c r="A5">
        <v>84</v>
      </c>
      <c r="B5">
        <v>3</v>
      </c>
    </row>
    <row r="6" spans="1:2" ht="12.75">
      <c r="A6">
        <v>104</v>
      </c>
      <c r="B6">
        <v>4</v>
      </c>
    </row>
    <row r="7" spans="1:2" ht="12.75">
      <c r="A7">
        <v>123</v>
      </c>
      <c r="B7">
        <v>5</v>
      </c>
    </row>
    <row r="8" spans="1:2" ht="12.75">
      <c r="A8">
        <v>143</v>
      </c>
      <c r="B8">
        <v>6</v>
      </c>
    </row>
    <row r="9" spans="1:2" ht="12.75">
      <c r="A9">
        <v>164</v>
      </c>
      <c r="B9">
        <v>7</v>
      </c>
    </row>
    <row r="10" spans="1:2" ht="12.75">
      <c r="A10">
        <v>183</v>
      </c>
      <c r="B10">
        <v>8</v>
      </c>
    </row>
    <row r="11" spans="1:2" ht="12.75">
      <c r="A11">
        <v>200</v>
      </c>
      <c r="B11">
        <v>9</v>
      </c>
    </row>
    <row r="12" spans="1:2" ht="12.75">
      <c r="A12">
        <v>221</v>
      </c>
      <c r="B12">
        <v>10</v>
      </c>
    </row>
    <row r="13" spans="1:2" ht="12.75">
      <c r="A13">
        <v>237</v>
      </c>
      <c r="B13">
        <v>11</v>
      </c>
    </row>
    <row r="14" spans="1:2" ht="12.75">
      <c r="A14">
        <v>258</v>
      </c>
      <c r="B14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Saxton</dc:creator>
  <cp:keywords/>
  <dc:description/>
  <cp:lastModifiedBy>Cathy Saxton</cp:lastModifiedBy>
  <cp:lastPrinted>2012-06-12T21:52:09Z</cp:lastPrinted>
  <dcterms:created xsi:type="dcterms:W3CDTF">2012-06-01T20:31:09Z</dcterms:created>
  <dcterms:modified xsi:type="dcterms:W3CDTF">2012-07-23T17:16:49Z</dcterms:modified>
  <cp:category/>
  <cp:version/>
  <cp:contentType/>
  <cp:contentStatus/>
</cp:coreProperties>
</file>