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430" windowHeight="8610" activeTab="0"/>
  </bookViews>
  <sheets>
    <sheet name="Notes" sheetId="1" r:id="rId1"/>
    <sheet name="Drive" sheetId="2" r:id="rId2"/>
    <sheet name="Charge" sheetId="3" r:id="rId3"/>
    <sheet name="LEAF vs Roadster" sheetId="4" r:id="rId4"/>
    <sheet name="Elevations" sheetId="5" r:id="rId5"/>
    <sheet name="Bars" sheetId="6" r:id="rId6"/>
    <sheet name="EV0" sheetId="7" r:id="rId7"/>
    <sheet name="EV1" sheetId="8" r:id="rId8"/>
    <sheet name="EV0.5" sheetId="9" r:id="rId9"/>
    <sheet name="EV2" sheetId="10" r:id="rId10"/>
    <sheet name="EV3" sheetId="11" r:id="rId11"/>
    <sheet name="EV4" sheetId="12" r:id="rId12"/>
    <sheet name="EV4b" sheetId="13" r:id="rId13"/>
    <sheet name="EV5" sheetId="14" r:id="rId14"/>
    <sheet name="EV8" sheetId="15" r:id="rId15"/>
    <sheet name="EV9" sheetId="16" r:id="rId16"/>
  </sheets>
  <definedNames/>
  <calcPr fullCalcOnLoad="1"/>
</workbook>
</file>

<file path=xl/comments12.xml><?xml version="1.0" encoding="utf-8"?>
<comments xmlns="http://schemas.openxmlformats.org/spreadsheetml/2006/main">
  <authors>
    <author>Cathy Saxton</author>
  </authors>
  <commentList>
    <comment ref="L30" authorId="0">
      <text>
        <r>
          <rPr>
            <sz val="8"/>
            <rFont val="Tahoma"/>
            <family val="2"/>
          </rPr>
          <t>2.6 at Stevens Pass (summit)</t>
        </r>
      </text>
    </comment>
  </commentList>
</comments>
</file>

<file path=xl/sharedStrings.xml><?xml version="1.0" encoding="utf-8"?>
<sst xmlns="http://schemas.openxmlformats.org/spreadsheetml/2006/main" count="1557" uniqueCount="318">
  <si>
    <t>ambient</t>
  </si>
  <si>
    <t>temp.</t>
  </si>
  <si>
    <t>SOC</t>
  </si>
  <si>
    <t>QC station</t>
  </si>
  <si>
    <t>trip</t>
  </si>
  <si>
    <t>mi/kWh</t>
  </si>
  <si>
    <t>notes</t>
  </si>
  <si>
    <t>location</t>
  </si>
  <si>
    <t>time</t>
  </si>
  <si>
    <t>°F</t>
  </si>
  <si>
    <t>bars</t>
  </si>
  <si>
    <t>GOM</t>
  </si>
  <si>
    <t>gids</t>
  </si>
  <si>
    <t>kWh</t>
  </si>
  <si>
    <t>odo.</t>
  </si>
  <si>
    <t>LCD</t>
  </si>
  <si>
    <t>nav</t>
  </si>
  <si>
    <t>(e.g. rain)</t>
  </si>
  <si>
    <t>Wh/mi</t>
  </si>
  <si>
    <t>home</t>
  </si>
  <si>
    <t>----</t>
  </si>
  <si>
    <t>Sultan</t>
  </si>
  <si>
    <t>arrival</t>
  </si>
  <si>
    <t>rain, lts, no heat</t>
  </si>
  <si>
    <t>DCQC start</t>
  </si>
  <si>
    <t>rain</t>
  </si>
  <si>
    <t>DCQC end</t>
  </si>
  <si>
    <t>departure</t>
  </si>
  <si>
    <t>Skykomish</t>
  </si>
  <si>
    <t>no rain, slow RV, passenger: Nick</t>
  </si>
  <si>
    <t>Leavenworth</t>
  </si>
  <si>
    <t>lts, sunny!, fan ~10 miles</t>
  </si>
  <si>
    <t>sunny!</t>
  </si>
  <si>
    <t>Wenatchee
Springhill Suites</t>
  </si>
  <si>
    <t>sunny, A/C</t>
  </si>
  <si>
    <t>charge start</t>
  </si>
  <si>
    <t>charge end</t>
  </si>
  <si>
    <t>Wenatchee
Convention Ctr</t>
  </si>
  <si>
    <t>sunny</t>
  </si>
  <si>
    <t>A/C</t>
  </si>
  <si>
    <t>partly cloudy</t>
  </si>
  <si>
    <t>early unplug</t>
  </si>
  <si>
    <t>nasty rain &gt;~12-15 mi, lts</t>
  </si>
  <si>
    <t>(no stop, target was &gt;= 128 gids)</t>
  </si>
  <si>
    <t>lts, rain ~1/3 trip</t>
  </si>
  <si>
    <t>(from Skykomish)</t>
  </si>
  <si>
    <t>Eastbound, at pass</t>
  </si>
  <si>
    <t>Westbound, at pass</t>
  </si>
  <si>
    <t>91 gids until 48.0 miles downhill!</t>
  </si>
  <si>
    <t>(target was &gt;= 128 gids)</t>
  </si>
  <si>
    <t>westbound climb</t>
  </si>
  <si>
    <t>westbound descent</t>
  </si>
  <si>
    <t>drizzle</t>
  </si>
  <si>
    <t>?</t>
  </si>
  <si>
    <t>n/a</t>
  </si>
  <si>
    <t xml:space="preserve">Charged </t>
  </si>
  <si>
    <t>overnight</t>
  </si>
  <si>
    <t>at hotel</t>
  </si>
  <si>
    <t>on L2 Charger</t>
  </si>
  <si>
    <t>Had breakfast</t>
  </si>
  <si>
    <t>while waiting</t>
  </si>
  <si>
    <t>"Charge complete message"</t>
  </si>
  <si>
    <t>for charge then</t>
  </si>
  <si>
    <t>answered questions</t>
  </si>
  <si>
    <t>Answered lots of</t>
  </si>
  <si>
    <t>questions while</t>
  </si>
  <si>
    <t>here</t>
  </si>
  <si>
    <t>Very heavy</t>
  </si>
  <si>
    <t>EB traffic</t>
  </si>
  <si>
    <t>Charged only to</t>
  </si>
  <si>
    <t>get you more data</t>
  </si>
  <si>
    <t>Stops looking for strawberries along the way</t>
  </si>
  <si>
    <t>EB*</t>
  </si>
  <si>
    <t>Stevens Pass</t>
  </si>
  <si>
    <t>Departed - 10:39</t>
  </si>
  <si>
    <t>WB*</t>
  </si>
  <si>
    <t>Departed - 10:10</t>
  </si>
  <si>
    <t>* Drove from previous DCQC to summit at a 50 mph pace.</t>
  </si>
  <si>
    <t>Rain</t>
  </si>
  <si>
    <t>Sunny</t>
  </si>
  <si>
    <t>Stayed Here</t>
  </si>
  <si>
    <t>L2 to 100%</t>
  </si>
  <si>
    <t>Overnight</t>
  </si>
  <si>
    <t>Mostly Sunny</t>
  </si>
  <si>
    <t>Chared @ Stevens</t>
  </si>
  <si>
    <t>For 15 minutes</t>
  </si>
  <si>
    <t xml:space="preserve">Cloudy, light </t>
  </si>
  <si>
    <t>Skipped</t>
  </si>
  <si>
    <t xml:space="preserve">Went home </t>
  </si>
  <si>
    <t>From Skykomish</t>
  </si>
  <si>
    <t>Cloudy</t>
  </si>
  <si>
    <t>lvl 2 charging total of  4.53 here while encountering issues with DC charger</t>
  </si>
  <si>
    <t>did not record and AV didn't use keyFob so lost but it was less than 3 kWh</t>
  </si>
  <si>
    <t>7?</t>
  </si>
  <si>
    <t>did not charge here</t>
  </si>
  <si>
    <t>charged on Eaton L2 to 100%</t>
  </si>
  <si>
    <t xml:space="preserve">skipped but had to L1 a mile from Sultan for 45 min. </t>
  </si>
  <si>
    <t>---</t>
  </si>
  <si>
    <t>.41 kWh on L2 waiting for L3</t>
  </si>
  <si>
    <t>Patrick</t>
  </si>
  <si>
    <t>Jeff</t>
  </si>
  <si>
    <t>Cathy</t>
  </si>
  <si>
    <t>80% plus a little, temp is normal garage not outside</t>
  </si>
  <si>
    <t>First QC ever</t>
  </si>
  <si>
    <t>Very light rain</t>
  </si>
  <si>
    <t>No SOC/GID meter</t>
  </si>
  <si>
    <t>mi/KWH not recorded</t>
  </si>
  <si>
    <t>Tried L2, forgot to turn of 80% timer</t>
  </si>
  <si>
    <t>Odo not recorded</t>
  </si>
  <si>
    <t>Unplugged and parked for a while</t>
  </si>
  <si>
    <t>Didn't travel to Wenatchee</t>
  </si>
  <si>
    <t>Completed just before departure</t>
  </si>
  <si>
    <t>4 bars at pass, didn't stop</t>
  </si>
  <si>
    <t>Heavy rain, fog</t>
  </si>
  <si>
    <t xml:space="preserve">Skipped Sultan, followed US2 </t>
  </si>
  <si>
    <t xml:space="preserve">to Monroe, then Duvall, then </t>
  </si>
  <si>
    <t>home in Woodinville</t>
  </si>
  <si>
    <t>Phil</t>
  </si>
  <si>
    <t>kWh gain</t>
  </si>
  <si>
    <t>minutes</t>
  </si>
  <si>
    <t>drive</t>
  </si>
  <si>
    <t>charge</t>
  </si>
  <si>
    <t>end %</t>
  </si>
  <si>
    <t>start %</t>
  </si>
  <si>
    <t>Wh/min</t>
  </si>
  <si>
    <t>%overhd</t>
  </si>
  <si>
    <t>(until full)</t>
  </si>
  <si>
    <t>(until 80%)</t>
  </si>
  <si>
    <t>my lovely wife forgot to charge overnight</t>
  </si>
  <si>
    <t>SLU</t>
  </si>
  <si>
    <t>i forgot to record</t>
  </si>
  <si>
    <t>this BLINK charger doesn't give you kWh</t>
  </si>
  <si>
    <t>DCQC restart</t>
  </si>
  <si>
    <t>restarted to get to 100%</t>
  </si>
  <si>
    <t>charged immediately, but was booted after a couple minutes for ceremony</t>
  </si>
  <si>
    <t>this restart happened while i was at lunch. Tyler needed some juice for the wenatchee leg, and he started my charge while i was away.</t>
  </si>
  <si>
    <t>level 2 charge… i forgot to record</t>
  </si>
  <si>
    <t>estimated</t>
  </si>
  <si>
    <t>charged immediately. I forgot to record charger SOC</t>
  </si>
  <si>
    <t>charged and recorded immediately</t>
  </si>
  <si>
    <t>Bruce</t>
  </si>
  <si>
    <t>charge session ended by driver</t>
  </si>
  <si>
    <t>50F at top of Steven's Pass</t>
  </si>
  <si>
    <t>George</t>
  </si>
  <si>
    <t>EV2</t>
  </si>
  <si>
    <t>EV4</t>
  </si>
  <si>
    <t>EV5</t>
  </si>
  <si>
    <t>odo start</t>
  </si>
  <si>
    <t>odo end</t>
  </si>
  <si>
    <t>station kWh</t>
  </si>
  <si>
    <t>eastbound climb</t>
  </si>
  <si>
    <t>eastbound descent</t>
  </si>
  <si>
    <t>estimated mileage...</t>
  </si>
  <si>
    <t>car</t>
  </si>
  <si>
    <t>H</t>
  </si>
  <si>
    <t>K</t>
  </si>
  <si>
    <t>C</t>
  </si>
  <si>
    <t>F</t>
  </si>
  <si>
    <t>used</t>
  </si>
  <si>
    <t>column</t>
  </si>
  <si>
    <t>row</t>
  </si>
  <si>
    <t>miles</t>
  </si>
  <si>
    <t>start</t>
  </si>
  <si>
    <t>end</t>
  </si>
  <si>
    <t>bar</t>
  </si>
  <si>
    <t>bottom</t>
  </si>
  <si>
    <t>top</t>
  </si>
  <si>
    <t>SOC bars</t>
  </si>
  <si>
    <t>odometer</t>
  </si>
  <si>
    <t>trip odometer</t>
  </si>
  <si>
    <t>avg mph</t>
  </si>
  <si>
    <t>min kWh</t>
  </si>
  <si>
    <t>max kWh</t>
  </si>
  <si>
    <t>min gid</t>
  </si>
  <si>
    <t>max gid</t>
  </si>
  <si>
    <t>mi / kWh</t>
  </si>
  <si>
    <t>Wh / mi</t>
  </si>
  <si>
    <t>SOC %</t>
  </si>
  <si>
    <t>EV0</t>
  </si>
  <si>
    <t>EV0.5</t>
  </si>
  <si>
    <t>EV3</t>
  </si>
  <si>
    <t>EV8</t>
  </si>
  <si>
    <t>Skykomish - Stevens Pass</t>
  </si>
  <si>
    <t>Sultan - Skykomish</t>
  </si>
  <si>
    <t>Skykomish - Leavenworth</t>
  </si>
  <si>
    <t>Leavenworth - Wenatchee</t>
  </si>
  <si>
    <t>Wenatchee - Leavenworth</t>
  </si>
  <si>
    <t>Leavenworth - Skykomish</t>
  </si>
  <si>
    <t>Skykomish - Sultan</t>
  </si>
  <si>
    <t>Leavenworth - Stevens Pass</t>
  </si>
  <si>
    <t>m</t>
  </si>
  <si>
    <t>ft</t>
  </si>
  <si>
    <t>pass</t>
  </si>
  <si>
    <t>Wenatchee</t>
  </si>
  <si>
    <t>elev</t>
  </si>
  <si>
    <r>
      <t>D</t>
    </r>
    <r>
      <rPr>
        <sz val="10"/>
        <rFont val="Arial"/>
        <family val="0"/>
      </rPr>
      <t xml:space="preserve"> elev</t>
    </r>
  </si>
  <si>
    <t>(summit)</t>
  </si>
  <si>
    <t>LEAF</t>
  </si>
  <si>
    <t>Roadster</t>
  </si>
  <si>
    <t>(odometer from Roadster)</t>
  </si>
  <si>
    <t>pct of
LEAF</t>
  </si>
  <si>
    <t>avg
mph</t>
  </si>
  <si>
    <t>min.</t>
  </si>
  <si>
    <t>Wh
/mi</t>
  </si>
  <si>
    <t>for
miles</t>
  </si>
  <si>
    <t>for
elev</t>
  </si>
  <si>
    <t>"flat" Wh / mi</t>
  </si>
  <si>
    <t>LEAF est. kWh</t>
  </si>
  <si>
    <t>Roadster est. kWh</t>
  </si>
  <si>
    <t>for estimates...</t>
  </si>
  <si>
    <t>http://www.jurassictest.ch/GR/</t>
  </si>
  <si>
    <t>Elevations from:</t>
  </si>
  <si>
    <t>Matt</t>
  </si>
  <si>
    <t>station SOC</t>
  </si>
  <si>
    <t>I</t>
  </si>
  <si>
    <t>J</t>
  </si>
  <si>
    <t>Wh / min</t>
  </si>
  <si>
    <t>station</t>
  </si>
  <si>
    <t>start SOC %</t>
  </si>
  <si>
    <t>end SOC %</t>
  </si>
  <si>
    <t>start gids</t>
  </si>
  <si>
    <t>end gids</t>
  </si>
  <si>
    <t>overhead</t>
  </si>
  <si>
    <t>gains during charge</t>
  </si>
  <si>
    <t>Sultan - eastbound</t>
  </si>
  <si>
    <t>Skykomish - eastbound</t>
  </si>
  <si>
    <t>Leavenworth - eastbound</t>
  </si>
  <si>
    <t>Leavenworth - westbound</t>
  </si>
  <si>
    <t>Skykomish - westbound</t>
  </si>
  <si>
    <t>Sultan - westbound</t>
  </si>
  <si>
    <t>soc</t>
  </si>
  <si>
    <t>charger</t>
  </si>
  <si>
    <t>charged (kWh)</t>
  </si>
  <si>
    <t>range indicated</t>
  </si>
  <si>
    <t>temp</t>
  </si>
  <si>
    <t>mileage</t>
  </si>
  <si>
    <t>trip a</t>
  </si>
  <si>
    <t>trip b</t>
  </si>
  <si>
    <t>note</t>
  </si>
  <si>
    <t>charged at work, drove 6.4 miles home up capitol hill at the cost of 1kWh</t>
  </si>
  <si>
    <t>Monroe</t>
  </si>
  <si>
    <t>passing through</t>
  </si>
  <si>
    <t>begin DCQC</t>
  </si>
  <si>
    <t>finish DCQC</t>
  </si>
  <si>
    <t>finish L2</t>
  </si>
  <si>
    <t>begin L2</t>
  </si>
  <si>
    <t>finish L2 total time 18:02</t>
  </si>
  <si>
    <t>following L2 charge</t>
  </si>
  <si>
    <t>arrived</t>
  </si>
  <si>
    <t>mid-charge DCQC</t>
  </si>
  <si>
    <t>prior to reaching Nason Creek rest area</t>
  </si>
  <si>
    <t>Nason Creek</t>
  </si>
  <si>
    <t>approx 45 minute charging at L1 using 120V 8A standard issue EVSE</t>
  </si>
  <si>
    <t>climbing Stevens Pass</t>
  </si>
  <si>
    <t>TURTLE</t>
  </si>
  <si>
    <t>Skykomosh</t>
  </si>
  <si>
    <t>begin DCQC note 1kWh regen from Stevens Pass</t>
  </si>
  <si>
    <t>Lee, Mitsubishi iMiEV</t>
  </si>
  <si>
    <t>Bellevue</t>
  </si>
  <si>
    <t>ATA</t>
  </si>
  <si>
    <t>ATD</t>
  </si>
  <si>
    <t>Odometer</t>
  </si>
  <si>
    <t>Trip</t>
  </si>
  <si>
    <t>Arr Bars</t>
  </si>
  <si>
    <t>m/kwH</t>
  </si>
  <si>
    <t>Start Chg</t>
  </si>
  <si>
    <t>Fin Chg</t>
  </si>
  <si>
    <t>kw Chg</t>
  </si>
  <si>
    <t>Leave Bars</t>
  </si>
  <si>
    <t>Leave GOM</t>
  </si>
  <si>
    <t>WX/Temp</t>
  </si>
  <si>
    <t>Cloudy/64</t>
  </si>
  <si>
    <t>Rainy/53</t>
  </si>
  <si>
    <t>Foggy/50</t>
  </si>
  <si>
    <t>Sunny/73</t>
  </si>
  <si>
    <t>Sunny/91</t>
  </si>
  <si>
    <t>Noon</t>
  </si>
  <si>
    <t>Lv Bars</t>
  </si>
  <si>
    <t>LV GOM</t>
  </si>
  <si>
    <t>kw Chg'd</t>
  </si>
  <si>
    <t>Sunny/65</t>
  </si>
  <si>
    <t>Foggy/52</t>
  </si>
  <si>
    <t>Cloudy/53</t>
  </si>
  <si>
    <t>Cloudy/56</t>
  </si>
  <si>
    <t>Cloudy/67</t>
  </si>
  <si>
    <t>Michael</t>
  </si>
  <si>
    <t>batt</t>
  </si>
  <si>
    <t>%</t>
  </si>
  <si>
    <t>IM</t>
  </si>
  <si>
    <t>(rain, elev, V/A)</t>
  </si>
  <si>
    <t>100 ft, rain</t>
  </si>
  <si>
    <t>234V 30 A</t>
  </si>
  <si>
    <t xml:space="preserve">             V       A</t>
  </si>
  <si>
    <t>900 ft</t>
  </si>
  <si>
    <t>233V 30A</t>
  </si>
  <si>
    <t>at summit: 77.0 mi, 123 IM</t>
  </si>
  <si>
    <t>1100 ft</t>
  </si>
  <si>
    <t>235V 30 A</t>
  </si>
  <si>
    <t>600 ft</t>
  </si>
  <si>
    <t>240V 40A</t>
  </si>
  <si>
    <t>235V 30A</t>
  </si>
  <si>
    <t>summit: 191.8 mi, 75 IM, 204.8 drop to 74 IM</t>
  </si>
  <si>
    <t>6:48 total drive time</t>
  </si>
  <si>
    <t>est.
kWh</t>
  </si>
  <si>
    <t>Sheets named "EV#" are the data provided by each driver.</t>
  </si>
  <si>
    <t>Note: don't delete sheets from this workbook! There are formulas in some sheets that refer to other sheets.</t>
  </si>
  <si>
    <t>The "Elevations" and "Bars" sheets are for reference / lookups.</t>
  </si>
  <si>
    <t>The "Drive" and "Charge" sheets are summary sheets showing data from multiple LEAFs. The raw and calculated data for each vehicle is shown for each leg of the trip / charging location. (There are hidden columns in these sheets that are used to look up values on other sheets.)</t>
  </si>
  <si>
    <t>The "LEAF vs Roadster" sheet shows energy use comparisons during drive segments. We drove together to try to get conditions and speeds as similar as possible. (Raw data is in EV4 and EV4b.)</t>
  </si>
  <si>
    <t>Due to different data collection information, EV1, EV4b, and EV9 are not included in the Drive and Charge summary sheets.</t>
  </si>
  <si>
    <t>uphill: kWh / 1000'</t>
  </si>
  <si>
    <t>down: kWh / 1000'</t>
  </si>
  <si>
    <t>Recorded data from driving LEAF and Roadster together for US2 trip.</t>
  </si>
  <si>
    <t>rain Wh / mi</t>
  </si>
  <si>
    <t>for
rain</t>
  </si>
  <si>
    <t>err %</t>
  </si>
  <si>
    <t>*4,061 from stevenspass.com</t>
  </si>
  <si>
    <t>Tom, Tesla Roadster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</si>
</sst>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409]dddd\,\ mmmm\ dd\,\ yyyy"/>
    <numFmt numFmtId="167" formatCode="m/d;@"/>
    <numFmt numFmtId="168" formatCode="hh:mm\ AM/PM"/>
    <numFmt numFmtId="169" formatCode="[$-409]h:mm:ss\ AM/PM"/>
    <numFmt numFmtId="170" formatCode="[$-409]h:mm\ AM/PM;@"/>
    <numFmt numFmtId="171" formatCode="0.0%"/>
    <numFmt numFmtId="172" formatCode="h:mm;@"/>
    <numFmt numFmtId="173" formatCode="#,##0.0"/>
  </numFmts>
  <fonts count="33">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i/>
      <sz val="10"/>
      <name val="Arial"/>
      <family val="2"/>
    </font>
    <font>
      <b/>
      <i/>
      <sz val="10"/>
      <name val="Arial"/>
      <family val="2"/>
    </font>
    <font>
      <b/>
      <i/>
      <sz val="10"/>
      <color indexed="10"/>
      <name val="Arial"/>
      <family val="2"/>
    </font>
    <font>
      <sz val="10"/>
      <name val="Symbol"/>
      <family val="1"/>
    </font>
    <font>
      <b/>
      <sz val="10"/>
      <color indexed="12"/>
      <name val="Arial"/>
      <family val="2"/>
    </font>
    <font>
      <b/>
      <sz val="10"/>
      <color indexed="16"/>
      <name val="Arial"/>
      <family val="2"/>
    </font>
    <font>
      <sz val="8"/>
      <name val="Verdana"/>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65"/>
        <bgColor indexed="64"/>
      </patternFill>
    </fill>
    <fill>
      <patternFill patternType="gray0625">
        <fgColor indexed="8"/>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color indexed="63"/>
      </top>
      <bottom style="double"/>
    </border>
    <border>
      <left>
        <color indexed="63"/>
      </left>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style="double"/>
      <bottom style="double"/>
    </border>
    <border>
      <left>
        <color indexed="63"/>
      </left>
      <right style="hair"/>
      <top style="double"/>
      <bottom style="double"/>
    </border>
    <border>
      <left style="hair"/>
      <right style="hair"/>
      <top style="double"/>
      <bottom style="double"/>
    </border>
    <border>
      <left style="hair"/>
      <right style="thin"/>
      <top style="double"/>
      <bottom style="double"/>
    </border>
    <border>
      <left>
        <color indexed="63"/>
      </left>
      <right style="hair"/>
      <top style="double"/>
      <bottom style="hair"/>
    </border>
    <border>
      <left style="hair"/>
      <right style="hair"/>
      <top style="double"/>
      <bottom style="hair"/>
    </border>
    <border>
      <left style="hair"/>
      <right style="thin"/>
      <top style="double"/>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double"/>
    </border>
    <border>
      <left style="hair"/>
      <right style="hair"/>
      <top style="hair"/>
      <bottom style="double"/>
    </border>
    <border>
      <left style="hair"/>
      <right style="thin"/>
      <top style="hair"/>
      <bottom style="double"/>
    </border>
    <border>
      <left style="hair"/>
      <right style="hair"/>
      <top>
        <color indexed="63"/>
      </top>
      <bottom style="hair"/>
    </border>
    <border>
      <left style="thin">
        <color indexed="63"/>
      </left>
      <right>
        <color indexed="63"/>
      </right>
      <top style="thin">
        <color indexed="63"/>
      </top>
      <bottom>
        <color indexed="63"/>
      </bottom>
    </border>
    <border>
      <left>
        <color indexed="63"/>
      </left>
      <right style="hair">
        <color indexed="63"/>
      </right>
      <top style="thin">
        <color indexed="63"/>
      </top>
      <bottom>
        <color indexed="63"/>
      </bottom>
    </border>
    <border>
      <left style="hair">
        <color indexed="63"/>
      </left>
      <right style="hair">
        <color indexed="63"/>
      </right>
      <top style="thin">
        <color indexed="63"/>
      </top>
      <bottom>
        <color indexed="63"/>
      </bottom>
    </border>
    <border>
      <left style="hair">
        <color indexed="63"/>
      </left>
      <right style="thin">
        <color indexed="63"/>
      </right>
      <top style="thin">
        <color indexed="63"/>
      </top>
      <bottom>
        <color indexed="63"/>
      </bottom>
    </border>
    <border>
      <left style="thin">
        <color indexed="63"/>
      </left>
      <right>
        <color indexed="63"/>
      </right>
      <top>
        <color indexed="63"/>
      </top>
      <bottom style="double">
        <color indexed="63"/>
      </bottom>
    </border>
    <border>
      <left>
        <color indexed="63"/>
      </left>
      <right style="hair">
        <color indexed="63"/>
      </right>
      <top>
        <color indexed="63"/>
      </top>
      <bottom style="double">
        <color indexed="63"/>
      </bottom>
    </border>
    <border>
      <left style="hair">
        <color indexed="63"/>
      </left>
      <right style="hair">
        <color indexed="63"/>
      </right>
      <top>
        <color indexed="63"/>
      </top>
      <bottom style="double">
        <color indexed="63"/>
      </bottom>
    </border>
    <border>
      <left style="hair">
        <color indexed="63"/>
      </left>
      <right style="thin">
        <color indexed="63"/>
      </right>
      <top>
        <color indexed="63"/>
      </top>
      <bottom style="double">
        <color indexed="63"/>
      </bottom>
    </border>
    <border>
      <left style="thin">
        <color indexed="63"/>
      </left>
      <right>
        <color indexed="63"/>
      </right>
      <top style="double">
        <color indexed="63"/>
      </top>
      <bottom style="double">
        <color indexed="63"/>
      </bottom>
    </border>
    <border>
      <left>
        <color indexed="63"/>
      </left>
      <right style="hair">
        <color indexed="63"/>
      </right>
      <top style="double">
        <color indexed="63"/>
      </top>
      <bottom style="double">
        <color indexed="63"/>
      </bottom>
    </border>
    <border>
      <left style="hair">
        <color indexed="63"/>
      </left>
      <right style="hair">
        <color indexed="63"/>
      </right>
      <top style="double">
        <color indexed="63"/>
      </top>
      <bottom style="double">
        <color indexed="63"/>
      </bottom>
    </border>
    <border>
      <left style="hair">
        <color indexed="63"/>
      </left>
      <right style="thin">
        <color indexed="63"/>
      </right>
      <top style="double">
        <color indexed="63"/>
      </top>
      <bottom style="double">
        <color indexed="63"/>
      </bottom>
    </border>
    <border>
      <left>
        <color indexed="63"/>
      </left>
      <right style="hair">
        <color indexed="63"/>
      </right>
      <top style="double">
        <color indexed="63"/>
      </top>
      <bottom style="hair">
        <color indexed="63"/>
      </bottom>
    </border>
    <border>
      <left style="hair">
        <color indexed="63"/>
      </left>
      <right style="hair">
        <color indexed="63"/>
      </right>
      <top style="double">
        <color indexed="63"/>
      </top>
      <bottom style="hair">
        <color indexed="63"/>
      </bottom>
    </border>
    <border>
      <left style="hair">
        <color indexed="63"/>
      </left>
      <right style="thin">
        <color indexed="63"/>
      </right>
      <top style="double">
        <color indexed="63"/>
      </top>
      <bottom style="hair">
        <color indexed="63"/>
      </bottom>
    </border>
    <border>
      <left>
        <color indexed="63"/>
      </left>
      <right style="hair">
        <color indexed="63"/>
      </right>
      <top style="hair">
        <color indexed="63"/>
      </top>
      <bottom style="hair">
        <color indexed="63"/>
      </bottom>
    </border>
    <border>
      <left style="hair">
        <color indexed="63"/>
      </left>
      <right style="hair">
        <color indexed="63"/>
      </right>
      <top style="hair">
        <color indexed="63"/>
      </top>
      <bottom style="hair">
        <color indexed="63"/>
      </bottom>
    </border>
    <border>
      <left style="hair">
        <color indexed="63"/>
      </left>
      <right style="thin">
        <color indexed="63"/>
      </right>
      <top style="hair">
        <color indexed="63"/>
      </top>
      <bottom style="hair">
        <color indexed="63"/>
      </bottom>
    </border>
    <border>
      <left>
        <color indexed="63"/>
      </left>
      <right style="hair">
        <color indexed="63"/>
      </right>
      <top style="hair">
        <color indexed="63"/>
      </top>
      <bottom style="double">
        <color indexed="63"/>
      </bottom>
    </border>
    <border>
      <left style="hair">
        <color indexed="63"/>
      </left>
      <right style="hair">
        <color indexed="63"/>
      </right>
      <top style="hair">
        <color indexed="63"/>
      </top>
      <bottom style="double">
        <color indexed="63"/>
      </bottom>
    </border>
    <border>
      <left style="hair">
        <color indexed="63"/>
      </left>
      <right style="thin">
        <color indexed="63"/>
      </right>
      <top style="hair">
        <color indexed="63"/>
      </top>
      <bottom style="double">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double"/>
      <bottom style="hair"/>
    </border>
    <border>
      <left style="thin"/>
      <right>
        <color indexed="63"/>
      </right>
      <top style="hair"/>
      <bottom style="hair"/>
    </border>
    <border>
      <left style="thin"/>
      <right>
        <color indexed="63"/>
      </right>
      <top style="hair"/>
      <bottom style="double"/>
    </border>
    <border>
      <left style="hair"/>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7"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68">
    <xf numFmtId="0" fontId="0" fillId="0" borderId="0" xfId="0"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3" fillId="0" borderId="12"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Border="1" applyAlignment="1">
      <alignment/>
    </xf>
    <xf numFmtId="0" fontId="4" fillId="0" borderId="15" xfId="0" applyFont="1" applyBorder="1" applyAlignment="1">
      <alignment/>
    </xf>
    <xf numFmtId="0" fontId="4" fillId="0" borderId="16" xfId="0" applyFont="1" applyBorder="1" applyAlignment="1">
      <alignment horizontal="center"/>
    </xf>
    <xf numFmtId="0" fontId="0" fillId="0" borderId="16" xfId="0" applyFont="1" applyBorder="1" applyAlignment="1">
      <alignment horizontal="center" wrapText="1"/>
    </xf>
    <xf numFmtId="0" fontId="0" fillId="0" borderId="16" xfId="0" applyFont="1" applyBorder="1" applyAlignment="1">
      <alignment horizontal="center"/>
    </xf>
    <xf numFmtId="0" fontId="4" fillId="0" borderId="16" xfId="0" applyFont="1" applyBorder="1" applyAlignment="1">
      <alignment horizontal="center" wrapText="1"/>
    </xf>
    <xf numFmtId="0" fontId="0" fillId="0" borderId="17" xfId="0" applyFont="1" applyBorder="1" applyAlignment="1">
      <alignment horizontal="center" wrapText="1"/>
    </xf>
    <xf numFmtId="0" fontId="0" fillId="0" borderId="0" xfId="0" applyFont="1" applyAlignment="1">
      <alignment horizontal="right"/>
    </xf>
    <xf numFmtId="0" fontId="0" fillId="0" borderId="0" xfId="0" applyAlignment="1">
      <alignment horizontal="right"/>
    </xf>
    <xf numFmtId="0" fontId="0" fillId="0" borderId="18" xfId="0" applyBorder="1" applyAlignment="1">
      <alignment/>
    </xf>
    <xf numFmtId="0" fontId="0" fillId="0" borderId="19" xfId="0" applyBorder="1" applyAlignment="1">
      <alignment vertical="center"/>
    </xf>
    <xf numFmtId="18" fontId="0" fillId="0" borderId="20" xfId="0" applyNumberFormat="1" applyBorder="1" applyAlignment="1">
      <alignment/>
    </xf>
    <xf numFmtId="0" fontId="0" fillId="0" borderId="20" xfId="0" applyBorder="1" applyAlignment="1">
      <alignment/>
    </xf>
    <xf numFmtId="0" fontId="0" fillId="1" borderId="20" xfId="0" applyFill="1" applyBorder="1" applyAlignment="1">
      <alignment/>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21" xfId="0" applyFill="1" applyBorder="1" applyAlignment="1">
      <alignment/>
    </xf>
    <xf numFmtId="0" fontId="0" fillId="0" borderId="22" xfId="0" applyBorder="1" applyAlignment="1">
      <alignment vertical="center"/>
    </xf>
    <xf numFmtId="18" fontId="0" fillId="0" borderId="23" xfId="0" applyNumberFormat="1" applyBorder="1" applyAlignment="1">
      <alignment/>
    </xf>
    <xf numFmtId="0" fontId="0" fillId="0" borderId="23" xfId="0" applyBorder="1" applyAlignment="1">
      <alignment/>
    </xf>
    <xf numFmtId="0" fontId="0" fillId="1" borderId="23" xfId="0" applyFill="1" applyBorder="1" applyAlignment="1">
      <alignment/>
    </xf>
    <xf numFmtId="0" fontId="0" fillId="0" borderId="24" xfId="0" applyBorder="1" applyAlignment="1">
      <alignment/>
    </xf>
    <xf numFmtId="2" fontId="0" fillId="0" borderId="0" xfId="0" applyNumberFormat="1" applyAlignment="1">
      <alignment/>
    </xf>
    <xf numFmtId="1" fontId="0" fillId="0" borderId="0" xfId="0" applyNumberFormat="1" applyAlignment="1">
      <alignment/>
    </xf>
    <xf numFmtId="0" fontId="0" fillId="0" borderId="25" xfId="0" applyBorder="1" applyAlignment="1">
      <alignment vertical="center"/>
    </xf>
    <xf numFmtId="18" fontId="0" fillId="0" borderId="26" xfId="0" applyNumberFormat="1" applyBorder="1" applyAlignment="1">
      <alignment/>
    </xf>
    <xf numFmtId="0" fontId="0" fillId="0" borderId="26" xfId="0" applyBorder="1" applyAlignment="1">
      <alignment/>
    </xf>
    <xf numFmtId="0" fontId="0" fillId="1" borderId="26" xfId="0" applyFill="1" applyBorder="1" applyAlignment="1">
      <alignment/>
    </xf>
    <xf numFmtId="0" fontId="0" fillId="0" borderId="27" xfId="0" applyFill="1" applyBorder="1" applyAlignment="1">
      <alignment/>
    </xf>
    <xf numFmtId="0" fontId="0" fillId="0" borderId="28" xfId="0" applyBorder="1" applyAlignment="1">
      <alignment vertical="center"/>
    </xf>
    <xf numFmtId="18" fontId="0" fillId="0" borderId="29" xfId="0" applyNumberFormat="1" applyBorder="1" applyAlignment="1">
      <alignment/>
    </xf>
    <xf numFmtId="0" fontId="0" fillId="0" borderId="29" xfId="0" applyBorder="1" applyAlignment="1">
      <alignment/>
    </xf>
    <xf numFmtId="0" fontId="0" fillId="1" borderId="29" xfId="0" applyFill="1" applyBorder="1" applyAlignment="1">
      <alignment/>
    </xf>
    <xf numFmtId="0" fontId="0" fillId="0" borderId="29" xfId="0" applyBorder="1" applyAlignment="1">
      <alignment horizontal="center" vertical="center"/>
    </xf>
    <xf numFmtId="0" fontId="0" fillId="0" borderId="30" xfId="0" applyFill="1" applyBorder="1" applyAlignment="1">
      <alignment/>
    </xf>
    <xf numFmtId="0" fontId="0" fillId="0" borderId="24" xfId="0" applyFill="1" applyBorder="1" applyAlignment="1">
      <alignment/>
    </xf>
    <xf numFmtId="0" fontId="0" fillId="0" borderId="26" xfId="0" applyFill="1" applyBorder="1" applyAlignment="1">
      <alignment/>
    </xf>
    <xf numFmtId="0" fontId="0" fillId="0" borderId="13" xfId="0" applyFont="1" applyFill="1" applyBorder="1" applyAlignment="1">
      <alignment horizontal="center"/>
    </xf>
    <xf numFmtId="0" fontId="5" fillId="0" borderId="18" xfId="0" applyFont="1" applyBorder="1" applyAlignment="1">
      <alignment/>
    </xf>
    <xf numFmtId="0" fontId="4" fillId="0" borderId="15" xfId="0" applyFont="1" applyBorder="1" applyAlignment="1">
      <alignment/>
    </xf>
    <xf numFmtId="0" fontId="4" fillId="0" borderId="16" xfId="0" applyFont="1" applyBorder="1" applyAlignment="1">
      <alignment horizontal="center"/>
    </xf>
    <xf numFmtId="0" fontId="4" fillId="0" borderId="16" xfId="0" applyFont="1" applyBorder="1" applyAlignment="1">
      <alignment horizontal="center" wrapText="1"/>
    </xf>
    <xf numFmtId="20" fontId="0" fillId="0" borderId="20" xfId="0" applyNumberFormat="1" applyFont="1" applyBorder="1" applyAlignment="1">
      <alignment/>
    </xf>
    <xf numFmtId="164" fontId="0" fillId="0" borderId="20" xfId="0" applyNumberFormat="1" applyBorder="1" applyAlignment="1">
      <alignment horizontal="center" vertical="center"/>
    </xf>
    <xf numFmtId="20" fontId="0" fillId="0" borderId="23" xfId="0" applyNumberFormat="1" applyFont="1" applyBorder="1" applyAlignment="1">
      <alignment/>
    </xf>
    <xf numFmtId="0" fontId="0" fillId="0" borderId="24" xfId="0" applyFont="1" applyBorder="1" applyAlignment="1">
      <alignment/>
    </xf>
    <xf numFmtId="0" fontId="0" fillId="0" borderId="26" xfId="0" applyFont="1" applyBorder="1" applyAlignment="1">
      <alignment/>
    </xf>
    <xf numFmtId="20" fontId="0" fillId="0" borderId="29" xfId="0" applyNumberFormat="1" applyFont="1" applyBorder="1" applyAlignment="1">
      <alignment/>
    </xf>
    <xf numFmtId="20" fontId="0" fillId="0" borderId="23" xfId="0" applyNumberFormat="1" applyBorder="1" applyAlignment="1">
      <alignment/>
    </xf>
    <xf numFmtId="0" fontId="0" fillId="0" borderId="24" xfId="0" applyFont="1" applyFill="1" applyBorder="1" applyAlignment="1">
      <alignment/>
    </xf>
    <xf numFmtId="20" fontId="0" fillId="0" borderId="29" xfId="0" applyNumberFormat="1" applyBorder="1" applyAlignment="1">
      <alignment/>
    </xf>
    <xf numFmtId="0" fontId="0" fillId="0" borderId="27" xfId="0" applyFont="1" applyFill="1" applyBorder="1" applyAlignment="1">
      <alignment/>
    </xf>
    <xf numFmtId="164" fontId="0" fillId="0" borderId="29" xfId="0" applyNumberFormat="1" applyBorder="1" applyAlignment="1">
      <alignment horizontal="center" vertical="center"/>
    </xf>
    <xf numFmtId="0" fontId="0" fillId="0" borderId="30" xfId="0" applyFont="1" applyFill="1" applyBorder="1" applyAlignment="1">
      <alignment/>
    </xf>
    <xf numFmtId="20" fontId="0" fillId="0" borderId="26" xfId="0" applyNumberFormat="1" applyBorder="1" applyAlignment="1">
      <alignment/>
    </xf>
    <xf numFmtId="0" fontId="0" fillId="0" borderId="26" xfId="0" applyFont="1" applyBorder="1" applyAlignment="1">
      <alignment horizontal="right"/>
    </xf>
    <xf numFmtId="0" fontId="5" fillId="0" borderId="18" xfId="0" applyFont="1" applyBorder="1" applyAlignment="1">
      <alignment/>
    </xf>
    <xf numFmtId="20" fontId="0" fillId="0" borderId="20" xfId="0" applyNumberFormat="1" applyBorder="1" applyAlignment="1">
      <alignment/>
    </xf>
    <xf numFmtId="0" fontId="0" fillId="0" borderId="21" xfId="0" applyFont="1" applyFill="1" applyBorder="1" applyAlignment="1">
      <alignment/>
    </xf>
    <xf numFmtId="0" fontId="0" fillId="0" borderId="0" xfId="0" applyFont="1" applyAlignment="1">
      <alignment/>
    </xf>
    <xf numFmtId="0" fontId="0" fillId="0" borderId="25" xfId="0" applyFont="1" applyBorder="1" applyAlignment="1">
      <alignment horizontal="left"/>
    </xf>
    <xf numFmtId="164" fontId="0" fillId="0" borderId="26" xfId="0" applyNumberFormat="1" applyBorder="1" applyAlignment="1">
      <alignment/>
    </xf>
    <xf numFmtId="0" fontId="0" fillId="0" borderId="31" xfId="0" applyBorder="1" applyAlignment="1">
      <alignment/>
    </xf>
    <xf numFmtId="0" fontId="0" fillId="0" borderId="23" xfId="0" applyBorder="1" applyAlignment="1" quotePrefix="1">
      <alignment/>
    </xf>
    <xf numFmtId="0" fontId="0" fillId="0" borderId="26" xfId="0" applyBorder="1" applyAlignment="1" quotePrefix="1">
      <alignment/>
    </xf>
    <xf numFmtId="0" fontId="4" fillId="0" borderId="32" xfId="58" applyFont="1" applyBorder="1">
      <alignment/>
      <protection/>
    </xf>
    <xf numFmtId="0" fontId="4" fillId="0" borderId="33" xfId="58" applyFont="1" applyBorder="1" applyAlignment="1">
      <alignment horizontal="center"/>
      <protection/>
    </xf>
    <xf numFmtId="0" fontId="4" fillId="0" borderId="34" xfId="58" applyFont="1" applyBorder="1" applyAlignment="1">
      <alignment horizontal="center"/>
      <protection/>
    </xf>
    <xf numFmtId="0" fontId="3" fillId="0" borderId="34" xfId="58" applyFont="1" applyBorder="1" applyAlignment="1">
      <alignment horizontal="center"/>
      <protection/>
    </xf>
    <xf numFmtId="0" fontId="0" fillId="0" borderId="34" xfId="58" applyFont="1" applyBorder="1" applyAlignment="1">
      <alignment horizontal="center"/>
      <protection/>
    </xf>
    <xf numFmtId="0" fontId="0" fillId="0" borderId="35" xfId="58" applyFont="1" applyBorder="1" applyAlignment="1">
      <alignment horizontal="center"/>
      <protection/>
    </xf>
    <xf numFmtId="0" fontId="0" fillId="0" borderId="0" xfId="58">
      <alignment/>
      <protection/>
    </xf>
    <xf numFmtId="0" fontId="0" fillId="0" borderId="36" xfId="58" applyBorder="1">
      <alignment/>
      <protection/>
    </xf>
    <xf numFmtId="0" fontId="4" fillId="0" borderId="37" xfId="58" applyFont="1" applyBorder="1">
      <alignment/>
      <protection/>
    </xf>
    <xf numFmtId="0" fontId="4" fillId="0" borderId="38" xfId="58" applyFont="1" applyBorder="1" applyAlignment="1">
      <alignment horizontal="center"/>
      <protection/>
    </xf>
    <xf numFmtId="0" fontId="0" fillId="0" borderId="38" xfId="58" applyFont="1" applyBorder="1" applyAlignment="1">
      <alignment horizontal="center" wrapText="1"/>
      <protection/>
    </xf>
    <xf numFmtId="0" fontId="0" fillId="0" borderId="38" xfId="58" applyFont="1" applyBorder="1" applyAlignment="1">
      <alignment horizontal="center"/>
      <protection/>
    </xf>
    <xf numFmtId="0" fontId="0" fillId="0" borderId="13" xfId="0" applyFont="1" applyFill="1" applyBorder="1" applyAlignment="1">
      <alignment horizontal="center"/>
    </xf>
    <xf numFmtId="0" fontId="4" fillId="0" borderId="38" xfId="58" applyFont="1" applyBorder="1" applyAlignment="1">
      <alignment horizontal="center" wrapText="1"/>
      <protection/>
    </xf>
    <xf numFmtId="0" fontId="0" fillId="0" borderId="39" xfId="58" applyFont="1" applyBorder="1" applyAlignment="1">
      <alignment horizontal="center" wrapText="1"/>
      <protection/>
    </xf>
    <xf numFmtId="0" fontId="0" fillId="0" borderId="40" xfId="58" applyBorder="1">
      <alignment/>
      <protection/>
    </xf>
    <xf numFmtId="0" fontId="0" fillId="0" borderId="41" xfId="58" applyFont="1" applyBorder="1" applyAlignment="1">
      <alignment vertical="center"/>
      <protection/>
    </xf>
    <xf numFmtId="168" fontId="0" fillId="0" borderId="42" xfId="58" applyNumberFormat="1" applyBorder="1">
      <alignment/>
      <protection/>
    </xf>
    <xf numFmtId="0" fontId="0" fillId="0" borderId="42" xfId="58" applyBorder="1">
      <alignment/>
      <protection/>
    </xf>
    <xf numFmtId="0" fontId="0" fillId="24" borderId="42" xfId="58" applyFill="1" applyBorder="1">
      <alignment/>
      <protection/>
    </xf>
    <xf numFmtId="0" fontId="0" fillId="0" borderId="42" xfId="58" applyBorder="1" applyAlignment="1">
      <alignment horizontal="center" vertical="center"/>
      <protection/>
    </xf>
    <xf numFmtId="0" fontId="0" fillId="0" borderId="43" xfId="58" applyFont="1" applyFill="1" applyBorder="1">
      <alignment/>
      <protection/>
    </xf>
    <xf numFmtId="0" fontId="0" fillId="0" borderId="44" xfId="58" applyFont="1" applyBorder="1" applyAlignment="1">
      <alignment vertical="center"/>
      <protection/>
    </xf>
    <xf numFmtId="168" fontId="0" fillId="0" borderId="45" xfId="58" applyNumberFormat="1" applyBorder="1">
      <alignment/>
      <protection/>
    </xf>
    <xf numFmtId="0" fontId="0" fillId="0" borderId="45" xfId="58" applyBorder="1">
      <alignment/>
      <protection/>
    </xf>
    <xf numFmtId="0" fontId="0" fillId="24" borderId="45" xfId="58" applyFill="1" applyBorder="1">
      <alignment/>
      <protection/>
    </xf>
    <xf numFmtId="0" fontId="0" fillId="0" borderId="46" xfId="58" applyFont="1" applyBorder="1">
      <alignment/>
      <protection/>
    </xf>
    <xf numFmtId="0" fontId="0" fillId="0" borderId="47" xfId="58" applyFont="1" applyBorder="1" applyAlignment="1">
      <alignment vertical="center"/>
      <protection/>
    </xf>
    <xf numFmtId="168" fontId="0" fillId="0" borderId="48" xfId="58" applyNumberFormat="1" applyBorder="1">
      <alignment/>
      <protection/>
    </xf>
    <xf numFmtId="0" fontId="0" fillId="0" borderId="48" xfId="58" applyBorder="1">
      <alignment/>
      <protection/>
    </xf>
    <xf numFmtId="0" fontId="0" fillId="24" borderId="48" xfId="58" applyFill="1" applyBorder="1">
      <alignment/>
      <protection/>
    </xf>
    <xf numFmtId="0" fontId="0" fillId="0" borderId="49" xfId="58" applyFont="1" applyFill="1" applyBorder="1">
      <alignment/>
      <protection/>
    </xf>
    <xf numFmtId="0" fontId="0" fillId="0" borderId="50" xfId="58" applyFont="1" applyBorder="1" applyAlignment="1">
      <alignment vertical="center"/>
      <protection/>
    </xf>
    <xf numFmtId="168" fontId="0" fillId="0" borderId="51" xfId="58" applyNumberFormat="1" applyBorder="1">
      <alignment/>
      <protection/>
    </xf>
    <xf numFmtId="0" fontId="0" fillId="0" borderId="51" xfId="58" applyBorder="1">
      <alignment/>
      <protection/>
    </xf>
    <xf numFmtId="0" fontId="0" fillId="24" borderId="51" xfId="58" applyFill="1" applyBorder="1">
      <alignment/>
      <protection/>
    </xf>
    <xf numFmtId="0" fontId="0" fillId="0" borderId="51" xfId="58" applyBorder="1" applyAlignment="1">
      <alignment horizontal="center" vertical="center"/>
      <protection/>
    </xf>
    <xf numFmtId="0" fontId="0" fillId="0" borderId="52" xfId="58" applyFont="1" applyFill="1" applyBorder="1">
      <alignment/>
      <protection/>
    </xf>
    <xf numFmtId="0" fontId="0" fillId="0" borderId="46" xfId="58" applyFill="1" applyBorder="1">
      <alignment/>
      <protection/>
    </xf>
    <xf numFmtId="0" fontId="0" fillId="0" borderId="48" xfId="58" applyFill="1" applyBorder="1">
      <alignment/>
      <protection/>
    </xf>
    <xf numFmtId="0" fontId="0" fillId="0" borderId="35" xfId="58" applyFont="1" applyFill="1" applyBorder="1" applyAlignment="1">
      <alignment horizontal="center"/>
      <protection/>
    </xf>
    <xf numFmtId="0" fontId="5" fillId="0" borderId="40" xfId="58" applyFont="1" applyBorder="1">
      <alignment/>
      <protection/>
    </xf>
    <xf numFmtId="0" fontId="0" fillId="0" borderId="0" xfId="0" applyNumberFormat="1" applyAlignment="1">
      <alignment/>
    </xf>
    <xf numFmtId="164" fontId="0" fillId="0" borderId="0" xfId="0" applyNumberFormat="1" applyAlignment="1">
      <alignment/>
    </xf>
    <xf numFmtId="0" fontId="24" fillId="0" borderId="26" xfId="0" applyFont="1" applyBorder="1" applyAlignment="1">
      <alignment/>
    </xf>
    <xf numFmtId="0" fontId="0" fillId="0" borderId="0" xfId="0" applyAlignment="1">
      <alignment horizontal="center"/>
    </xf>
    <xf numFmtId="20" fontId="0" fillId="0" borderId="0" xfId="0" applyNumberFormat="1" applyAlignment="1">
      <alignment/>
    </xf>
    <xf numFmtId="20" fontId="0" fillId="0" borderId="26" xfId="0" applyNumberFormat="1" applyFont="1" applyBorder="1" applyAlignment="1">
      <alignment/>
    </xf>
    <xf numFmtId="0" fontId="3" fillId="0" borderId="12"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wrapText="1"/>
    </xf>
    <xf numFmtId="0" fontId="25" fillId="0" borderId="0" xfId="0" applyFont="1" applyAlignment="1">
      <alignment/>
    </xf>
    <xf numFmtId="0" fontId="26" fillId="0" borderId="26" xfId="0" applyFont="1" applyBorder="1" applyAlignment="1">
      <alignment/>
    </xf>
    <xf numFmtId="0" fontId="26" fillId="0" borderId="0" xfId="0" applyFont="1" applyAlignment="1">
      <alignment/>
    </xf>
    <xf numFmtId="0" fontId="26" fillId="0" borderId="29" xfId="0" applyFont="1" applyBorder="1" applyAlignment="1">
      <alignment/>
    </xf>
    <xf numFmtId="20" fontId="26" fillId="0" borderId="26" xfId="0" applyNumberFormat="1" applyFont="1" applyBorder="1" applyAlignment="1">
      <alignment/>
    </xf>
    <xf numFmtId="0" fontId="0" fillId="0" borderId="0" xfId="0" applyAlignment="1">
      <alignment horizontal="center" textRotation="90"/>
    </xf>
    <xf numFmtId="164" fontId="0" fillId="0" borderId="0" xfId="0" applyNumberFormat="1" applyAlignment="1">
      <alignment horizontal="center" textRotation="90"/>
    </xf>
    <xf numFmtId="1" fontId="0" fillId="0" borderId="0" xfId="0" applyNumberFormat="1" applyAlignment="1">
      <alignment horizontal="center" textRotation="90"/>
    </xf>
    <xf numFmtId="0" fontId="0" fillId="0" borderId="0" xfId="0" applyBorder="1" applyAlignment="1">
      <alignment horizontal="center"/>
    </xf>
    <xf numFmtId="0" fontId="0" fillId="0" borderId="53" xfId="0" applyBorder="1" applyAlignment="1">
      <alignment horizontal="center"/>
    </xf>
    <xf numFmtId="0" fontId="0" fillId="0" borderId="0" xfId="0" applyBorder="1" applyAlignment="1">
      <alignment horizontal="center" textRotation="90"/>
    </xf>
    <xf numFmtId="0" fontId="0" fillId="0" borderId="53" xfId="0" applyBorder="1" applyAlignment="1">
      <alignment horizontal="center" textRotation="90"/>
    </xf>
    <xf numFmtId="172" fontId="0" fillId="0" borderId="0" xfId="0" applyNumberFormat="1" applyBorder="1" applyAlignment="1">
      <alignment/>
    </xf>
    <xf numFmtId="1" fontId="0" fillId="0" borderId="54" xfId="0" applyNumberFormat="1" applyBorder="1" applyAlignment="1">
      <alignment horizontal="center" textRotation="90"/>
    </xf>
    <xf numFmtId="1" fontId="0" fillId="0" borderId="0" xfId="0" applyNumberFormat="1" applyBorder="1" applyAlignment="1">
      <alignment horizontal="center" textRotation="90"/>
    </xf>
    <xf numFmtId="1" fontId="0" fillId="0" borderId="53" xfId="0" applyNumberFormat="1" applyBorder="1" applyAlignment="1">
      <alignment horizontal="center" textRotation="90"/>
    </xf>
    <xf numFmtId="1" fontId="0" fillId="0" borderId="54" xfId="0" applyNumberFormat="1" applyBorder="1" applyAlignment="1">
      <alignment/>
    </xf>
    <xf numFmtId="1" fontId="0" fillId="0" borderId="0" xfId="0" applyNumberFormat="1" applyBorder="1" applyAlignment="1">
      <alignment/>
    </xf>
    <xf numFmtId="1" fontId="0" fillId="0" borderId="53" xfId="0" applyNumberFormat="1" applyBorder="1" applyAlignment="1">
      <alignment/>
    </xf>
    <xf numFmtId="164" fontId="0" fillId="0" borderId="54" xfId="0" applyNumberFormat="1" applyBorder="1" applyAlignment="1">
      <alignment horizontal="center" textRotation="90"/>
    </xf>
    <xf numFmtId="164" fontId="0" fillId="0" borderId="0" xfId="0" applyNumberFormat="1" applyBorder="1" applyAlignment="1">
      <alignment horizontal="center" textRotation="90"/>
    </xf>
    <xf numFmtId="164" fontId="0" fillId="0" borderId="54" xfId="0" applyNumberFormat="1" applyBorder="1" applyAlignment="1">
      <alignment/>
    </xf>
    <xf numFmtId="164" fontId="0" fillId="0" borderId="0" xfId="0" applyNumberFormat="1" applyBorder="1" applyAlignment="1">
      <alignment/>
    </xf>
    <xf numFmtId="164" fontId="0" fillId="0" borderId="53" xfId="0" applyNumberFormat="1" applyBorder="1" applyAlignment="1">
      <alignment/>
    </xf>
    <xf numFmtId="1" fontId="0" fillId="0" borderId="0" xfId="0" applyNumberFormat="1" applyBorder="1" applyAlignment="1">
      <alignment horizontal="center"/>
    </xf>
    <xf numFmtId="2" fontId="0" fillId="0" borderId="0" xfId="0" applyNumberFormat="1" applyBorder="1" applyAlignment="1">
      <alignment horizontal="center"/>
    </xf>
    <xf numFmtId="1" fontId="0" fillId="0" borderId="53" xfId="0" applyNumberFormat="1" applyBorder="1" applyAlignment="1">
      <alignment horizontal="center"/>
    </xf>
    <xf numFmtId="1" fontId="4" fillId="0" borderId="53" xfId="0" applyNumberFormat="1" applyFont="1" applyBorder="1" applyAlignment="1">
      <alignment horizontal="center" textRotation="90"/>
    </xf>
    <xf numFmtId="2" fontId="4" fillId="0" borderId="0" xfId="0" applyNumberFormat="1" applyFont="1" applyBorder="1" applyAlignment="1">
      <alignment horizontal="center" textRotation="90"/>
    </xf>
    <xf numFmtId="1" fontId="4" fillId="0" borderId="0" xfId="0" applyNumberFormat="1" applyFont="1" applyBorder="1" applyAlignment="1">
      <alignment horizontal="center" textRotation="90"/>
    </xf>
    <xf numFmtId="0" fontId="26" fillId="0" borderId="29" xfId="0" applyFont="1" applyBorder="1" applyAlignment="1">
      <alignment horizontal="center" vertical="center"/>
    </xf>
    <xf numFmtId="9" fontId="0" fillId="0" borderId="0" xfId="0" applyNumberFormat="1" applyAlignment="1">
      <alignment/>
    </xf>
    <xf numFmtId="2" fontId="4" fillId="0" borderId="53" xfId="0" applyNumberFormat="1" applyFont="1" applyBorder="1" applyAlignment="1">
      <alignment horizontal="center" textRotation="90"/>
    </xf>
    <xf numFmtId="2" fontId="0" fillId="0" borderId="53" xfId="0" applyNumberFormat="1" applyBorder="1" applyAlignment="1">
      <alignment horizontal="center"/>
    </xf>
    <xf numFmtId="1" fontId="4" fillId="0" borderId="0" xfId="0" applyNumberFormat="1" applyFont="1" applyAlignment="1">
      <alignment horizontal="center" textRotation="90"/>
    </xf>
    <xf numFmtId="20" fontId="26" fillId="0" borderId="29" xfId="0" applyNumberFormat="1" applyFont="1" applyBorder="1" applyAlignment="1">
      <alignment/>
    </xf>
    <xf numFmtId="1" fontId="4" fillId="0" borderId="0" xfId="0" applyNumberFormat="1" applyFont="1" applyBorder="1" applyAlignment="1">
      <alignment/>
    </xf>
    <xf numFmtId="2" fontId="4" fillId="0" borderId="0" xfId="0" applyNumberFormat="1" applyFont="1" applyBorder="1" applyAlignment="1">
      <alignment/>
    </xf>
    <xf numFmtId="0" fontId="27" fillId="0" borderId="0" xfId="0" applyFont="1" applyAlignment="1">
      <alignment/>
    </xf>
    <xf numFmtId="1" fontId="0" fillId="0" borderId="0" xfId="0" applyNumberFormat="1" applyAlignment="1">
      <alignment horizontal="right"/>
    </xf>
    <xf numFmtId="0" fontId="0" fillId="0" borderId="54" xfId="0" applyBorder="1" applyAlignment="1">
      <alignment horizontal="right"/>
    </xf>
    <xf numFmtId="0" fontId="0" fillId="0" borderId="0" xfId="0" applyBorder="1" applyAlignment="1">
      <alignment horizontal="right"/>
    </xf>
    <xf numFmtId="0" fontId="0" fillId="0" borderId="54" xfId="0" applyBorder="1" applyAlignment="1">
      <alignment/>
    </xf>
    <xf numFmtId="0" fontId="0" fillId="0" borderId="0" xfId="0" applyBorder="1" applyAlignment="1">
      <alignment/>
    </xf>
    <xf numFmtId="2" fontId="0" fillId="0" borderId="54" xfId="0" applyNumberFormat="1" applyBorder="1" applyAlignment="1">
      <alignment/>
    </xf>
    <xf numFmtId="2" fontId="0" fillId="0" borderId="0" xfId="0" applyNumberFormat="1" applyBorder="1" applyAlignment="1">
      <alignment/>
    </xf>
    <xf numFmtId="0" fontId="0" fillId="0" borderId="0" xfId="0" applyFont="1" applyBorder="1" applyAlignment="1">
      <alignment/>
    </xf>
    <xf numFmtId="0" fontId="4" fillId="0" borderId="0" xfId="0" applyFont="1" applyBorder="1" applyAlignment="1">
      <alignment/>
    </xf>
    <xf numFmtId="0" fontId="0" fillId="0" borderId="55" xfId="0" applyBorder="1" applyAlignment="1">
      <alignment/>
    </xf>
    <xf numFmtId="0" fontId="28" fillId="0" borderId="55" xfId="0" applyFont="1" applyBorder="1" applyAlignment="1">
      <alignment horizontal="right"/>
    </xf>
    <xf numFmtId="0" fontId="0" fillId="0" borderId="55" xfId="0" applyBorder="1" applyAlignment="1">
      <alignment/>
    </xf>
    <xf numFmtId="1" fontId="0" fillId="0" borderId="55" xfId="0" applyNumberFormat="1" applyBorder="1" applyAlignment="1">
      <alignment/>
    </xf>
    <xf numFmtId="0" fontId="25" fillId="0" borderId="0" xfId="0" applyFont="1" applyBorder="1" applyAlignment="1">
      <alignment/>
    </xf>
    <xf numFmtId="1" fontId="25" fillId="0" borderId="0" xfId="0" applyNumberFormat="1" applyFont="1" applyBorder="1" applyAlignment="1">
      <alignment/>
    </xf>
    <xf numFmtId="1" fontId="0" fillId="0" borderId="0" xfId="0" applyNumberFormat="1" applyFont="1" applyBorder="1" applyAlignment="1">
      <alignment/>
    </xf>
    <xf numFmtId="164" fontId="0" fillId="0" borderId="0" xfId="0" applyNumberFormat="1" applyFont="1" applyBorder="1" applyAlignment="1">
      <alignment/>
    </xf>
    <xf numFmtId="0" fontId="0" fillId="0" borderId="0" xfId="0" applyFont="1" applyBorder="1" applyAlignment="1">
      <alignment horizontal="right" wrapText="1"/>
    </xf>
    <xf numFmtId="0" fontId="0" fillId="0" borderId="0" xfId="0" applyBorder="1" applyAlignment="1">
      <alignment horizontal="right" wrapText="1"/>
    </xf>
    <xf numFmtId="2" fontId="0" fillId="0" borderId="54" xfId="0" applyNumberFormat="1" applyBorder="1" applyAlignment="1">
      <alignment horizontal="right" wrapText="1"/>
    </xf>
    <xf numFmtId="2" fontId="0" fillId="0" borderId="0" xfId="0" applyNumberFormat="1" applyBorder="1" applyAlignment="1">
      <alignment horizontal="right" wrapText="1"/>
    </xf>
    <xf numFmtId="2" fontId="0" fillId="0" borderId="0" xfId="0" applyNumberFormat="1" applyAlignment="1">
      <alignment horizontal="right"/>
    </xf>
    <xf numFmtId="2" fontId="0" fillId="0" borderId="0" xfId="0" applyNumberFormat="1" applyAlignment="1">
      <alignment/>
    </xf>
    <xf numFmtId="0" fontId="0" fillId="4" borderId="0" xfId="0" applyNumberFormat="1" applyFill="1" applyAlignment="1">
      <alignment/>
    </xf>
    <xf numFmtId="0" fontId="26" fillId="0" borderId="0" xfId="0" applyFont="1" applyAlignment="1">
      <alignment horizontal="right"/>
    </xf>
    <xf numFmtId="0" fontId="29" fillId="0" borderId="0" xfId="0" applyFont="1" applyBorder="1" applyAlignment="1">
      <alignment horizontal="right"/>
    </xf>
    <xf numFmtId="0" fontId="29" fillId="0" borderId="0" xfId="0" applyFont="1" applyBorder="1" applyAlignment="1">
      <alignment/>
    </xf>
    <xf numFmtId="2" fontId="29" fillId="0" borderId="0" xfId="0" applyNumberFormat="1" applyFont="1" applyBorder="1" applyAlignment="1">
      <alignment/>
    </xf>
    <xf numFmtId="0" fontId="30" fillId="0" borderId="0" xfId="0" applyFont="1" applyBorder="1" applyAlignment="1">
      <alignment horizontal="right"/>
    </xf>
    <xf numFmtId="0" fontId="30" fillId="0" borderId="0" xfId="0" applyFont="1" applyBorder="1" applyAlignment="1">
      <alignment/>
    </xf>
    <xf numFmtId="2" fontId="30" fillId="0" borderId="0" xfId="0" applyNumberFormat="1" applyFont="1" applyBorder="1" applyAlignment="1">
      <alignment/>
    </xf>
    <xf numFmtId="0" fontId="0" fillId="0" borderId="53" xfId="0" applyBorder="1" applyAlignment="1">
      <alignment/>
    </xf>
    <xf numFmtId="0" fontId="0" fillId="0" borderId="0" xfId="0" applyFont="1" applyAlignment="1">
      <alignment horizontal="center" textRotation="90"/>
    </xf>
    <xf numFmtId="1" fontId="0" fillId="0" borderId="53" xfId="0" applyNumberFormat="1" applyFont="1" applyBorder="1" applyAlignment="1">
      <alignment horizontal="center" textRotation="90"/>
    </xf>
    <xf numFmtId="0" fontId="0" fillId="0" borderId="53" xfId="0" applyFont="1" applyBorder="1" applyAlignment="1">
      <alignment horizontal="center" textRotation="90"/>
    </xf>
    <xf numFmtId="1" fontId="0" fillId="0" borderId="0" xfId="0" applyNumberFormat="1" applyFont="1" applyAlignment="1">
      <alignment horizontal="center" textRotation="90"/>
    </xf>
    <xf numFmtId="1" fontId="0" fillId="0" borderId="0" xfId="0" applyNumberFormat="1" applyFont="1" applyBorder="1" applyAlignment="1">
      <alignment horizontal="center" textRotation="90"/>
    </xf>
    <xf numFmtId="2" fontId="0" fillId="0" borderId="0" xfId="0" applyNumberFormat="1" applyFont="1" applyBorder="1" applyAlignment="1">
      <alignment/>
    </xf>
    <xf numFmtId="164" fontId="0" fillId="0" borderId="55" xfId="0" applyNumberFormat="1" applyBorder="1" applyAlignment="1">
      <alignment/>
    </xf>
    <xf numFmtId="1" fontId="4" fillId="0" borderId="55" xfId="0" applyNumberFormat="1" applyFont="1" applyBorder="1" applyAlignment="1">
      <alignment horizontal="center" textRotation="90"/>
    </xf>
    <xf numFmtId="9" fontId="0" fillId="0" borderId="55" xfId="0" applyNumberFormat="1" applyBorder="1" applyAlignment="1">
      <alignment/>
    </xf>
    <xf numFmtId="0" fontId="26" fillId="0" borderId="48" xfId="58" applyFont="1" applyBorder="1">
      <alignment/>
      <protection/>
    </xf>
    <xf numFmtId="2" fontId="0" fillId="0" borderId="0" xfId="0" applyNumberFormat="1" applyFont="1" applyBorder="1" applyAlignment="1">
      <alignment horizontal="center" textRotation="90"/>
    </xf>
    <xf numFmtId="2" fontId="0" fillId="0" borderId="53" xfId="0" applyNumberFormat="1" applyFont="1" applyBorder="1" applyAlignment="1">
      <alignment horizontal="center" textRotation="90"/>
    </xf>
    <xf numFmtId="21" fontId="0" fillId="0" borderId="0" xfId="0" applyNumberFormat="1" applyAlignment="1">
      <alignment/>
    </xf>
    <xf numFmtId="0" fontId="4" fillId="0" borderId="0" xfId="0" applyFont="1" applyAlignment="1">
      <alignment/>
    </xf>
    <xf numFmtId="0" fontId="7" fillId="0" borderId="0" xfId="57">
      <alignment/>
      <protection/>
    </xf>
    <xf numFmtId="14" fontId="7" fillId="0" borderId="0" xfId="57" applyNumberFormat="1">
      <alignment/>
      <protection/>
    </xf>
    <xf numFmtId="0" fontId="22" fillId="0" borderId="0" xfId="57" applyFont="1">
      <alignment/>
      <protection/>
    </xf>
    <xf numFmtId="2" fontId="0" fillId="0" borderId="56" xfId="0" applyNumberFormat="1" applyBorder="1" applyAlignment="1">
      <alignment horizontal="right" wrapText="1"/>
    </xf>
    <xf numFmtId="2" fontId="0" fillId="0" borderId="56" xfId="0" applyNumberFormat="1" applyBorder="1" applyAlignment="1">
      <alignment/>
    </xf>
    <xf numFmtId="0" fontId="0" fillId="0" borderId="56" xfId="0" applyBorder="1" applyAlignment="1">
      <alignment/>
    </xf>
    <xf numFmtId="0" fontId="0" fillId="25" borderId="26" xfId="0" applyFill="1" applyBorder="1" applyAlignment="1">
      <alignment/>
    </xf>
    <xf numFmtId="173" fontId="0" fillId="0" borderId="23" xfId="0" applyNumberFormat="1" applyBorder="1" applyAlignment="1">
      <alignment/>
    </xf>
    <xf numFmtId="4" fontId="0" fillId="0" borderId="23" xfId="0" applyNumberFormat="1" applyBorder="1" applyAlignment="1">
      <alignment/>
    </xf>
    <xf numFmtId="173" fontId="0" fillId="25" borderId="26" xfId="0" applyNumberFormat="1" applyFill="1" applyBorder="1" applyAlignment="1">
      <alignment/>
    </xf>
    <xf numFmtId="4" fontId="0" fillId="25" borderId="26" xfId="0" applyNumberFormat="1" applyFill="1" applyBorder="1" applyAlignment="1">
      <alignment/>
    </xf>
    <xf numFmtId="0" fontId="0" fillId="26" borderId="29" xfId="0" applyFill="1" applyBorder="1" applyAlignment="1">
      <alignment/>
    </xf>
    <xf numFmtId="0" fontId="0" fillId="27" borderId="29" xfId="0" applyFill="1" applyBorder="1" applyAlignment="1">
      <alignment/>
    </xf>
    <xf numFmtId="173" fontId="0" fillId="0" borderId="29" xfId="0" applyNumberFormat="1" applyBorder="1" applyAlignment="1">
      <alignment horizontal="center" vertical="center"/>
    </xf>
    <xf numFmtId="4" fontId="0" fillId="0" borderId="29" xfId="0" applyNumberFormat="1" applyBorder="1" applyAlignment="1">
      <alignment horizontal="center" vertical="center"/>
    </xf>
    <xf numFmtId="173" fontId="0" fillId="0" borderId="20" xfId="0" applyNumberFormat="1" applyBorder="1" applyAlignment="1">
      <alignment horizontal="center" vertical="center"/>
    </xf>
    <xf numFmtId="4" fontId="0" fillId="0" borderId="20" xfId="0" applyNumberFormat="1" applyBorder="1" applyAlignment="1">
      <alignment horizontal="center" vertical="center"/>
    </xf>
    <xf numFmtId="0" fontId="25" fillId="0" borderId="0" xfId="0" applyFont="1" applyAlignment="1">
      <alignment wrapText="1"/>
    </xf>
    <xf numFmtId="0" fontId="0" fillId="0" borderId="0" xfId="0" applyAlignment="1">
      <alignment wrapText="1"/>
    </xf>
    <xf numFmtId="2" fontId="30" fillId="0" borderId="0" xfId="0" applyNumberFormat="1" applyFont="1" applyBorder="1" applyAlignment="1">
      <alignment horizontal="right" wrapText="1"/>
    </xf>
    <xf numFmtId="2" fontId="29" fillId="0" borderId="0" xfId="0" applyNumberFormat="1" applyFont="1" applyBorder="1" applyAlignment="1">
      <alignment horizontal="right" wrapText="1"/>
    </xf>
    <xf numFmtId="2" fontId="0" fillId="0" borderId="53" xfId="0" applyNumberFormat="1" applyBorder="1" applyAlignment="1">
      <alignment/>
    </xf>
    <xf numFmtId="0" fontId="0" fillId="0" borderId="53" xfId="0" applyBorder="1" applyAlignment="1">
      <alignment horizontal="right" wrapText="1"/>
    </xf>
    <xf numFmtId="0" fontId="0" fillId="0" borderId="0" xfId="0" applyNumberFormat="1" applyFill="1" applyAlignment="1">
      <alignment/>
    </xf>
    <xf numFmtId="0" fontId="5" fillId="0" borderId="57" xfId="0" applyFont="1" applyBorder="1" applyAlignment="1">
      <alignment horizontal="center" vertical="center" textRotation="90" wrapText="1"/>
    </xf>
    <xf numFmtId="0" fontId="5" fillId="0" borderId="58" xfId="0" applyFont="1" applyBorder="1" applyAlignment="1">
      <alignment horizontal="center" vertical="center" textRotation="90"/>
    </xf>
    <xf numFmtId="0" fontId="5" fillId="0" borderId="59" xfId="0" applyFont="1" applyBorder="1" applyAlignment="1">
      <alignment horizontal="center" vertical="center" textRotation="90"/>
    </xf>
    <xf numFmtId="0" fontId="5" fillId="0" borderId="57" xfId="0" applyFont="1" applyBorder="1" applyAlignment="1">
      <alignment horizontal="center" vertical="center" textRotation="90"/>
    </xf>
    <xf numFmtId="0" fontId="4" fillId="0" borderId="60" xfId="0" applyFont="1" applyBorder="1" applyAlignment="1">
      <alignment horizontal="center"/>
    </xf>
    <xf numFmtId="0" fontId="30" fillId="0" borderId="0" xfId="0" applyFont="1" applyFill="1" applyBorder="1" applyAlignment="1">
      <alignment/>
    </xf>
    <xf numFmtId="0" fontId="0" fillId="0" borderId="0" xfId="0" applyBorder="1" applyAlignment="1">
      <alignment horizontal="center"/>
    </xf>
    <xf numFmtId="0" fontId="0" fillId="0" borderId="53" xfId="0" applyBorder="1" applyAlignment="1">
      <alignment horizontal="center"/>
    </xf>
    <xf numFmtId="0" fontId="0" fillId="0" borderId="0" xfId="0" applyAlignment="1">
      <alignment horizontal="center"/>
    </xf>
    <xf numFmtId="0" fontId="0" fillId="0" borderId="54" xfId="0" applyBorder="1" applyAlignment="1">
      <alignment horizontal="center"/>
    </xf>
    <xf numFmtId="164" fontId="0" fillId="0" borderId="54" xfId="0" applyNumberFormat="1" applyBorder="1" applyAlignment="1">
      <alignment horizontal="center"/>
    </xf>
    <xf numFmtId="164" fontId="0" fillId="0" borderId="0" xfId="0" applyNumberFormat="1" applyBorder="1" applyAlignment="1">
      <alignment horizontal="center"/>
    </xf>
    <xf numFmtId="164" fontId="0" fillId="0" borderId="53" xfId="0" applyNumberFormat="1" applyBorder="1" applyAlignment="1">
      <alignment horizontal="center"/>
    </xf>
    <xf numFmtId="2" fontId="0" fillId="0" borderId="54" xfId="0" applyNumberFormat="1" applyBorder="1" applyAlignment="1">
      <alignment horizontal="center"/>
    </xf>
    <xf numFmtId="2" fontId="0" fillId="0" borderId="0" xfId="0" applyNumberFormat="1" applyBorder="1" applyAlignment="1">
      <alignment horizontal="center"/>
    </xf>
    <xf numFmtId="2" fontId="0" fillId="0" borderId="53" xfId="0" applyNumberFormat="1" applyBorder="1" applyAlignment="1">
      <alignment horizontal="center"/>
    </xf>
    <xf numFmtId="2" fontId="0" fillId="0" borderId="56" xfId="0" applyNumberFormat="1" applyBorder="1" applyAlignment="1">
      <alignment horizontal="center"/>
    </xf>
    <xf numFmtId="0" fontId="5" fillId="0" borderId="57" xfId="0" applyFont="1" applyBorder="1" applyAlignment="1">
      <alignment horizontal="center" vertical="center" textRotation="90" wrapText="1"/>
    </xf>
    <xf numFmtId="0" fontId="5" fillId="0" borderId="58" xfId="0" applyFont="1" applyBorder="1" applyAlignment="1">
      <alignment horizontal="center" vertical="center" textRotation="90"/>
    </xf>
    <xf numFmtId="0" fontId="5" fillId="0" borderId="59" xfId="0" applyFont="1" applyBorder="1" applyAlignment="1">
      <alignment horizontal="center" vertical="center" textRotation="90"/>
    </xf>
    <xf numFmtId="0" fontId="5" fillId="0" borderId="57" xfId="0" applyFont="1" applyBorder="1" applyAlignment="1">
      <alignment horizontal="center" vertical="center" textRotation="90"/>
    </xf>
    <xf numFmtId="0" fontId="0" fillId="0" borderId="12" xfId="0" applyFont="1" applyBorder="1" applyAlignment="1">
      <alignment horizontal="center"/>
    </xf>
    <xf numFmtId="0" fontId="5" fillId="0" borderId="60" xfId="0" applyFont="1" applyBorder="1" applyAlignment="1">
      <alignment horizontal="center"/>
    </xf>
    <xf numFmtId="0" fontId="5" fillId="0" borderId="11" xfId="0" applyFont="1" applyBorder="1" applyAlignment="1">
      <alignment horizontal="center"/>
    </xf>
    <xf numFmtId="0" fontId="5" fillId="0" borderId="34" xfId="58" applyFont="1" applyBorder="1" applyAlignment="1">
      <alignment horizontal="center"/>
      <protection/>
    </xf>
    <xf numFmtId="0" fontId="0" fillId="0" borderId="34" xfId="58" applyFont="1" applyBorder="1" applyAlignment="1">
      <alignment horizontal="center"/>
      <protection/>
    </xf>
    <xf numFmtId="0" fontId="5" fillId="0" borderId="40" xfId="58" applyFont="1" applyBorder="1" applyAlignment="1">
      <alignment horizontal="center" vertical="center" textRotation="90"/>
      <protection/>
    </xf>
    <xf numFmtId="0" fontId="5" fillId="0" borderId="40" xfId="58" applyFont="1" applyBorder="1" applyAlignment="1">
      <alignment horizontal="center" vertical="center" textRotation="90" wrapText="1"/>
      <protection/>
    </xf>
    <xf numFmtId="0" fontId="0" fillId="0" borderId="61" xfId="0"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5" fillId="0" borderId="60" xfId="0" applyFont="1" applyBorder="1" applyAlignment="1">
      <alignment horizontal="center"/>
    </xf>
    <xf numFmtId="0" fontId="5" fillId="0" borderId="11"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ichael-WenatcheeEVLog" xfId="57"/>
    <cellStyle name="Normal_Phil-datacollection-v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9"/>
  <sheetViews>
    <sheetView tabSelected="1" workbookViewId="0" topLeftCell="A1">
      <selection activeCell="A1" sqref="A1"/>
    </sheetView>
  </sheetViews>
  <sheetFormatPr defaultColWidth="9.140625" defaultRowHeight="12.75"/>
  <cols>
    <col min="1" max="1" width="100.7109375" style="0" customWidth="1"/>
  </cols>
  <sheetData>
    <row r="1" ht="12.75">
      <c r="A1" s="228" t="s">
        <v>305</v>
      </c>
    </row>
    <row r="2" ht="12.75">
      <c r="A2" s="229"/>
    </row>
    <row r="3" ht="12.75">
      <c r="A3" s="229" t="s">
        <v>304</v>
      </c>
    </row>
    <row r="4" ht="12.75">
      <c r="A4" s="229"/>
    </row>
    <row r="5" ht="38.25">
      <c r="A5" s="229" t="s">
        <v>307</v>
      </c>
    </row>
    <row r="6" ht="25.5">
      <c r="A6" s="229" t="s">
        <v>309</v>
      </c>
    </row>
    <row r="7" ht="12.75">
      <c r="A7" s="229"/>
    </row>
    <row r="8" ht="25.5">
      <c r="A8" s="229" t="s">
        <v>308</v>
      </c>
    </row>
    <row r="9" ht="12.75">
      <c r="A9" s="229"/>
    </row>
    <row r="10" ht="12.75">
      <c r="A10" s="229" t="s">
        <v>306</v>
      </c>
    </row>
    <row r="11" ht="12.75">
      <c r="A11" s="229"/>
    </row>
    <row r="12" ht="12.75">
      <c r="A12" s="229"/>
    </row>
    <row r="13" ht="12.75">
      <c r="A13" s="229"/>
    </row>
    <row r="14" ht="12.75">
      <c r="A14" s="229"/>
    </row>
    <row r="15" ht="12.75">
      <c r="A15" s="229"/>
    </row>
    <row r="16" ht="12.75">
      <c r="A16" s="229"/>
    </row>
    <row r="17" ht="12.75">
      <c r="A17" s="229"/>
    </row>
    <row r="18" ht="12.75">
      <c r="A18" s="229"/>
    </row>
    <row r="19" ht="12.75">
      <c r="A19" s="229"/>
    </row>
    <row r="20" ht="12.75">
      <c r="A20" s="229"/>
    </row>
    <row r="21" ht="12.75">
      <c r="A21" s="229"/>
    </row>
    <row r="22" ht="12.75">
      <c r="A22" s="229"/>
    </row>
    <row r="23" ht="12.75">
      <c r="A23" s="229"/>
    </row>
    <row r="24" ht="12.75">
      <c r="A24" s="229"/>
    </row>
    <row r="25" ht="12.75">
      <c r="A25" s="229"/>
    </row>
    <row r="26" ht="12.75">
      <c r="A26" s="229"/>
    </row>
    <row r="27" ht="12.75">
      <c r="A27" s="229"/>
    </row>
    <row r="28" ht="12.75">
      <c r="A28" s="229"/>
    </row>
    <row r="29" ht="12.75">
      <c r="A29" s="229"/>
    </row>
    <row r="30" ht="12.75">
      <c r="A30" s="229"/>
    </row>
    <row r="31" ht="12.75">
      <c r="A31" s="229"/>
    </row>
    <row r="32" ht="12.75">
      <c r="A32" s="229"/>
    </row>
    <row r="33" ht="12.75">
      <c r="A33" s="229"/>
    </row>
    <row r="34" ht="12.75">
      <c r="A34" s="229"/>
    </row>
    <row r="35" ht="12.75">
      <c r="A35" s="229"/>
    </row>
    <row r="36" ht="12.75">
      <c r="A36" s="229"/>
    </row>
    <row r="37" ht="12.75">
      <c r="A37" s="229"/>
    </row>
    <row r="38" ht="12.75">
      <c r="A38" s="229"/>
    </row>
    <row r="39" ht="12.75">
      <c r="A39" s="229"/>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P48"/>
  <sheetViews>
    <sheetView workbookViewId="0" topLeftCell="A1">
      <selection activeCell="A1" sqref="A1"/>
    </sheetView>
  </sheetViews>
  <sheetFormatPr defaultColWidth="9.140625" defaultRowHeight="12.75"/>
  <cols>
    <col min="1" max="1" width="4.7109375" style="0" customWidth="1"/>
    <col min="2" max="2" width="10.7109375" style="0" customWidth="1"/>
    <col min="3" max="4" width="6.7109375" style="0" customWidth="1"/>
    <col min="5" max="13" width="5.7109375" style="0" customWidth="1"/>
    <col min="14" max="14" width="14.7109375" style="0" customWidth="1"/>
    <col min="15" max="16" width="6.7109375" style="0" customWidth="1"/>
  </cols>
  <sheetData>
    <row r="1" spans="1:14" ht="12.75">
      <c r="A1" s="1" t="s">
        <v>100</v>
      </c>
      <c r="B1" s="2"/>
      <c r="C1" s="3"/>
      <c r="D1" s="4" t="s">
        <v>0</v>
      </c>
      <c r="E1" s="5" t="s">
        <v>1</v>
      </c>
      <c r="F1" s="5" t="s">
        <v>2</v>
      </c>
      <c r="G1" s="5"/>
      <c r="H1" s="3"/>
      <c r="I1" s="257" t="s">
        <v>3</v>
      </c>
      <c r="J1" s="258"/>
      <c r="K1" s="3" t="s">
        <v>4</v>
      </c>
      <c r="L1" s="256" t="s">
        <v>5</v>
      </c>
      <c r="M1" s="256"/>
      <c r="N1" s="6" t="s">
        <v>6</v>
      </c>
    </row>
    <row r="2" spans="1:16" ht="13.5" thickBot="1">
      <c r="A2" s="7"/>
      <c r="B2" s="46" t="s">
        <v>7</v>
      </c>
      <c r="C2" s="47" t="s">
        <v>8</v>
      </c>
      <c r="D2" s="10" t="s">
        <v>9</v>
      </c>
      <c r="E2" s="10" t="s">
        <v>10</v>
      </c>
      <c r="F2" s="10" t="s">
        <v>10</v>
      </c>
      <c r="G2" s="10" t="s">
        <v>11</v>
      </c>
      <c r="H2" s="47" t="s">
        <v>12</v>
      </c>
      <c r="I2" s="11" t="s">
        <v>2</v>
      </c>
      <c r="J2" s="11" t="s">
        <v>13</v>
      </c>
      <c r="K2" s="48" t="s">
        <v>14</v>
      </c>
      <c r="L2" s="10" t="s">
        <v>15</v>
      </c>
      <c r="M2" s="10" t="s">
        <v>16</v>
      </c>
      <c r="N2" s="13" t="s">
        <v>17</v>
      </c>
      <c r="O2" s="14" t="s">
        <v>13</v>
      </c>
      <c r="P2" s="15" t="s">
        <v>18</v>
      </c>
    </row>
    <row r="3" spans="1:14" ht="19.5" customHeight="1" thickBot="1" thickTop="1">
      <c r="A3" s="16"/>
      <c r="B3" s="17" t="s">
        <v>19</v>
      </c>
      <c r="C3" s="49">
        <v>0.2847222222222222</v>
      </c>
      <c r="D3" s="19">
        <v>65</v>
      </c>
      <c r="E3" s="19">
        <v>5</v>
      </c>
      <c r="F3" s="19">
        <v>12</v>
      </c>
      <c r="G3" s="19">
        <v>101</v>
      </c>
      <c r="H3" s="19">
        <v>274</v>
      </c>
      <c r="I3" s="20"/>
      <c r="J3" s="20"/>
      <c r="K3" s="50">
        <v>0</v>
      </c>
      <c r="L3" s="22" t="s">
        <v>20</v>
      </c>
      <c r="M3" s="22" t="s">
        <v>20</v>
      </c>
      <c r="N3" s="23"/>
    </row>
    <row r="4" spans="1:16" ht="19.5" customHeight="1" thickTop="1">
      <c r="A4" s="238" t="s">
        <v>21</v>
      </c>
      <c r="B4" s="24" t="s">
        <v>22</v>
      </c>
      <c r="C4" s="51">
        <v>0.3194444444444445</v>
      </c>
      <c r="D4" s="26">
        <v>58</v>
      </c>
      <c r="E4" s="26">
        <v>5</v>
      </c>
      <c r="F4" s="26">
        <v>8</v>
      </c>
      <c r="G4" s="26">
        <v>56</v>
      </c>
      <c r="H4" s="26">
        <v>185</v>
      </c>
      <c r="I4" s="27"/>
      <c r="J4" s="27"/>
      <c r="K4" s="26">
        <v>31.1</v>
      </c>
      <c r="L4" s="26">
        <v>4.4</v>
      </c>
      <c r="M4" s="26">
        <v>4.5</v>
      </c>
      <c r="N4" s="52" t="s">
        <v>52</v>
      </c>
      <c r="O4" s="29">
        <f>(H3-H4)*0.08</f>
        <v>7.12</v>
      </c>
      <c r="P4" s="30">
        <f>O4/(K4-K3)*1000</f>
        <v>228.93890675241158</v>
      </c>
    </row>
    <row r="5" spans="1:14" ht="19.5" customHeight="1">
      <c r="A5" s="236"/>
      <c r="B5" s="31" t="s">
        <v>24</v>
      </c>
      <c r="C5" s="33"/>
      <c r="D5" s="33"/>
      <c r="E5" s="33"/>
      <c r="F5" s="127">
        <f>F4</f>
        <v>8</v>
      </c>
      <c r="G5" s="33"/>
      <c r="H5" s="127">
        <f>H4</f>
        <v>185</v>
      </c>
      <c r="I5" s="33">
        <v>67</v>
      </c>
      <c r="J5" s="34"/>
      <c r="K5" s="34"/>
      <c r="L5" s="34"/>
      <c r="M5" s="34"/>
      <c r="N5" s="35"/>
    </row>
    <row r="6" spans="1:14" ht="19.5" customHeight="1">
      <c r="A6" s="236"/>
      <c r="B6" s="31" t="s">
        <v>26</v>
      </c>
      <c r="C6" s="33"/>
      <c r="D6" s="33"/>
      <c r="E6" s="33"/>
      <c r="F6" s="127">
        <f>F7</f>
        <v>10</v>
      </c>
      <c r="G6" s="33"/>
      <c r="H6" s="127">
        <f>H7</f>
        <v>244</v>
      </c>
      <c r="I6" s="33">
        <v>98</v>
      </c>
      <c r="J6" s="53" t="s">
        <v>53</v>
      </c>
      <c r="K6" s="34"/>
      <c r="L6" s="34"/>
      <c r="M6" s="34"/>
      <c r="N6" s="35"/>
    </row>
    <row r="7" spans="1:14" ht="19.5" customHeight="1" thickBot="1">
      <c r="A7" s="237"/>
      <c r="B7" s="36" t="s">
        <v>27</v>
      </c>
      <c r="C7" s="54">
        <v>0.3513888888888889</v>
      </c>
      <c r="D7" s="38">
        <v>58</v>
      </c>
      <c r="E7" s="38">
        <v>5</v>
      </c>
      <c r="F7" s="38">
        <v>10</v>
      </c>
      <c r="G7" s="38">
        <v>78</v>
      </c>
      <c r="H7" s="38">
        <v>244</v>
      </c>
      <c r="I7" s="39"/>
      <c r="J7" s="39"/>
      <c r="K7" s="40">
        <v>31.1</v>
      </c>
      <c r="L7" s="40" t="s">
        <v>20</v>
      </c>
      <c r="M7" s="40" t="s">
        <v>20</v>
      </c>
      <c r="N7" s="41"/>
    </row>
    <row r="8" spans="1:16" ht="19.5" customHeight="1" thickTop="1">
      <c r="A8" s="238" t="s">
        <v>28</v>
      </c>
      <c r="B8" s="24" t="s">
        <v>22</v>
      </c>
      <c r="C8" s="55">
        <v>0.3763888888888889</v>
      </c>
      <c r="D8" s="26">
        <v>56</v>
      </c>
      <c r="E8" s="26">
        <v>5</v>
      </c>
      <c r="F8" s="26">
        <v>5</v>
      </c>
      <c r="G8" s="26">
        <v>31</v>
      </c>
      <c r="H8" s="26">
        <v>141</v>
      </c>
      <c r="I8" s="27"/>
      <c r="J8" s="27"/>
      <c r="K8" s="26">
        <v>57.5</v>
      </c>
      <c r="L8" s="26">
        <v>3.2</v>
      </c>
      <c r="M8" s="26">
        <v>3.2</v>
      </c>
      <c r="N8" s="56" t="s">
        <v>52</v>
      </c>
      <c r="O8" s="29">
        <f>(H7-H8)*0.08</f>
        <v>8.24</v>
      </c>
      <c r="P8" s="30">
        <f>O8/(K8-K7)*1000</f>
        <v>312.1212121212121</v>
      </c>
    </row>
    <row r="9" spans="1:14" ht="19.5" customHeight="1">
      <c r="A9" s="236"/>
      <c r="B9" s="31" t="s">
        <v>24</v>
      </c>
      <c r="C9" s="33"/>
      <c r="D9" s="33"/>
      <c r="E9" s="33"/>
      <c r="F9" s="127">
        <f>F8</f>
        <v>5</v>
      </c>
      <c r="G9" s="33"/>
      <c r="H9" s="127">
        <f>H8</f>
        <v>141</v>
      </c>
      <c r="I9" s="33">
        <v>52</v>
      </c>
      <c r="J9" s="34"/>
      <c r="K9" s="34"/>
      <c r="L9" s="34"/>
      <c r="M9" s="34"/>
      <c r="N9" s="35"/>
    </row>
    <row r="10" spans="1:14" ht="19.5" customHeight="1">
      <c r="A10" s="236"/>
      <c r="B10" s="31" t="s">
        <v>26</v>
      </c>
      <c r="C10" s="33"/>
      <c r="D10" s="33"/>
      <c r="E10" s="33"/>
      <c r="F10" s="127">
        <f>F11</f>
        <v>11</v>
      </c>
      <c r="G10" s="33"/>
      <c r="H10" s="127">
        <f>H11</f>
        <v>245</v>
      </c>
      <c r="I10" s="33">
        <v>98</v>
      </c>
      <c r="J10" s="33">
        <v>9.227</v>
      </c>
      <c r="K10" s="34"/>
      <c r="L10" s="34"/>
      <c r="M10" s="34"/>
      <c r="N10" s="35"/>
    </row>
    <row r="11" spans="1:14" ht="19.5" customHeight="1" thickBot="1">
      <c r="A11" s="237"/>
      <c r="B11" s="36" t="s">
        <v>27</v>
      </c>
      <c r="C11" s="57">
        <v>0.4152777777777778</v>
      </c>
      <c r="D11" s="38">
        <v>56</v>
      </c>
      <c r="E11" s="38">
        <v>6</v>
      </c>
      <c r="F11" s="38">
        <v>11</v>
      </c>
      <c r="G11" s="38">
        <v>62</v>
      </c>
      <c r="H11" s="38">
        <v>245</v>
      </c>
      <c r="I11" s="39"/>
      <c r="J11" s="39"/>
      <c r="K11" s="40">
        <v>57.5</v>
      </c>
      <c r="L11" s="40" t="s">
        <v>20</v>
      </c>
      <c r="M11" s="40" t="s">
        <v>20</v>
      </c>
      <c r="N11" s="41"/>
    </row>
    <row r="12" spans="1:16" ht="19.5" customHeight="1" thickTop="1">
      <c r="A12" s="238" t="s">
        <v>30</v>
      </c>
      <c r="B12" s="24" t="s">
        <v>22</v>
      </c>
      <c r="C12" s="55">
        <v>0.4777777777777778</v>
      </c>
      <c r="D12" s="26">
        <v>69</v>
      </c>
      <c r="E12" s="26">
        <v>6</v>
      </c>
      <c r="F12" s="26">
        <v>3</v>
      </c>
      <c r="G12" s="26">
        <v>31</v>
      </c>
      <c r="H12" s="26">
        <v>92</v>
      </c>
      <c r="I12" s="27"/>
      <c r="J12" s="27"/>
      <c r="K12" s="26">
        <v>109.3</v>
      </c>
      <c r="L12" s="26">
        <v>4.3</v>
      </c>
      <c r="M12" s="26">
        <v>4.4</v>
      </c>
      <c r="N12" s="42"/>
      <c r="O12" s="29">
        <f>(H11-H12)*0.08</f>
        <v>12.24</v>
      </c>
      <c r="P12" s="30">
        <f>O12/(K12-K11)*1000</f>
        <v>236.2934362934363</v>
      </c>
    </row>
    <row r="13" spans="1:14" ht="19.5" customHeight="1">
      <c r="A13" s="236"/>
      <c r="B13" s="31" t="s">
        <v>24</v>
      </c>
      <c r="C13" s="33"/>
      <c r="D13" s="33"/>
      <c r="E13" s="33"/>
      <c r="F13" s="127">
        <f>F12</f>
        <v>3</v>
      </c>
      <c r="G13" s="33"/>
      <c r="H13" s="127">
        <f>H12</f>
        <v>92</v>
      </c>
      <c r="I13" s="33">
        <v>36</v>
      </c>
      <c r="J13" s="34"/>
      <c r="K13" s="34"/>
      <c r="L13" s="34"/>
      <c r="M13" s="34"/>
      <c r="N13" s="35"/>
    </row>
    <row r="14" spans="1:14" ht="19.5" customHeight="1">
      <c r="A14" s="236"/>
      <c r="B14" s="31" t="s">
        <v>26</v>
      </c>
      <c r="C14" s="33"/>
      <c r="D14" s="33"/>
      <c r="E14" s="33"/>
      <c r="F14" s="127">
        <f>F15</f>
        <v>10</v>
      </c>
      <c r="G14" s="33"/>
      <c r="H14" s="127">
        <f>H15</f>
        <v>244</v>
      </c>
      <c r="I14" s="33">
        <v>98</v>
      </c>
      <c r="J14" s="33"/>
      <c r="K14" s="34"/>
      <c r="L14" s="34"/>
      <c r="M14" s="34"/>
      <c r="N14" s="35"/>
    </row>
    <row r="15" spans="1:14" ht="19.5" customHeight="1" thickBot="1">
      <c r="A15" s="237"/>
      <c r="B15" s="36" t="s">
        <v>27</v>
      </c>
      <c r="C15" s="57">
        <v>0.08333333333333333</v>
      </c>
      <c r="D15" s="38">
        <v>69</v>
      </c>
      <c r="E15" s="38">
        <v>6</v>
      </c>
      <c r="F15" s="38">
        <v>10</v>
      </c>
      <c r="G15" s="38">
        <v>114</v>
      </c>
      <c r="H15" s="38">
        <v>244</v>
      </c>
      <c r="I15" s="39"/>
      <c r="J15" s="39"/>
      <c r="K15" s="40">
        <v>109.3</v>
      </c>
      <c r="L15" s="40" t="s">
        <v>20</v>
      </c>
      <c r="M15" s="40" t="s">
        <v>20</v>
      </c>
      <c r="N15" s="41"/>
    </row>
    <row r="16" spans="1:16" ht="19.5" customHeight="1" thickTop="1">
      <c r="A16" s="235" t="s">
        <v>33</v>
      </c>
      <c r="B16" s="24" t="s">
        <v>22</v>
      </c>
      <c r="C16" s="55">
        <v>0.1076388888888889</v>
      </c>
      <c r="D16" s="26">
        <v>83</v>
      </c>
      <c r="E16" s="26">
        <v>6</v>
      </c>
      <c r="F16" s="26">
        <v>9</v>
      </c>
      <c r="G16" s="26">
        <v>76</v>
      </c>
      <c r="H16" s="26">
        <v>214</v>
      </c>
      <c r="I16" s="27"/>
      <c r="J16" s="27"/>
      <c r="K16" s="26">
        <v>129.9</v>
      </c>
      <c r="L16" s="26">
        <v>4.9</v>
      </c>
      <c r="M16" s="26">
        <v>5.1</v>
      </c>
      <c r="N16" s="42"/>
      <c r="O16" s="29">
        <f>(H15-H16)*0.08</f>
        <v>2.4</v>
      </c>
      <c r="P16" s="30">
        <f>O16/(K16-K15)*1000</f>
        <v>116.50485436893199</v>
      </c>
    </row>
    <row r="17" spans="1:14" ht="19.5" customHeight="1">
      <c r="A17" s="236"/>
      <c r="B17" s="31" t="s">
        <v>35</v>
      </c>
      <c r="C17" s="33"/>
      <c r="D17" s="33"/>
      <c r="E17" s="33"/>
      <c r="F17" s="33"/>
      <c r="G17" s="33"/>
      <c r="H17" s="33"/>
      <c r="I17" s="53" t="s">
        <v>54</v>
      </c>
      <c r="J17" s="34"/>
      <c r="K17" s="34"/>
      <c r="L17" s="34"/>
      <c r="M17" s="34"/>
      <c r="N17" s="35"/>
    </row>
    <row r="18" spans="1:14" ht="19.5" customHeight="1">
      <c r="A18" s="236"/>
      <c r="B18" s="31" t="s">
        <v>36</v>
      </c>
      <c r="C18" s="33"/>
      <c r="D18" s="33"/>
      <c r="E18" s="33"/>
      <c r="F18" s="33"/>
      <c r="G18" s="33"/>
      <c r="H18" s="33"/>
      <c r="I18" s="53" t="s">
        <v>54</v>
      </c>
      <c r="J18" s="33"/>
      <c r="K18" s="34"/>
      <c r="L18" s="34"/>
      <c r="M18" s="34"/>
      <c r="N18" s="35"/>
    </row>
    <row r="19" spans="1:14" ht="19.5" customHeight="1" thickBot="1">
      <c r="A19" s="237"/>
      <c r="B19" s="36" t="s">
        <v>27</v>
      </c>
      <c r="C19" s="38"/>
      <c r="D19" s="38"/>
      <c r="E19" s="38"/>
      <c r="F19" s="38"/>
      <c r="G19" s="38"/>
      <c r="H19" s="38"/>
      <c r="I19" s="39"/>
      <c r="J19" s="39"/>
      <c r="K19" s="40"/>
      <c r="L19" s="40" t="s">
        <v>20</v>
      </c>
      <c r="M19" s="40" t="s">
        <v>20</v>
      </c>
      <c r="N19" s="41"/>
    </row>
    <row r="20" spans="1:14" ht="13.5" thickTop="1">
      <c r="A20" s="1"/>
      <c r="B20" s="2"/>
      <c r="C20" s="3"/>
      <c r="D20" s="4" t="s">
        <v>0</v>
      </c>
      <c r="E20" s="5" t="s">
        <v>1</v>
      </c>
      <c r="F20" s="5" t="s">
        <v>2</v>
      </c>
      <c r="G20" s="5"/>
      <c r="H20" s="3"/>
      <c r="I20" s="257" t="s">
        <v>3</v>
      </c>
      <c r="J20" s="258"/>
      <c r="K20" s="3" t="s">
        <v>4</v>
      </c>
      <c r="L20" s="256" t="s">
        <v>5</v>
      </c>
      <c r="M20" s="256"/>
      <c r="N20" s="44" t="s">
        <v>6</v>
      </c>
    </row>
    <row r="21" spans="1:14" ht="13.5" thickBot="1">
      <c r="A21" s="7"/>
      <c r="B21" s="46" t="s">
        <v>7</v>
      </c>
      <c r="C21" s="47" t="s">
        <v>8</v>
      </c>
      <c r="D21" s="10" t="s">
        <v>9</v>
      </c>
      <c r="E21" s="10" t="s">
        <v>10</v>
      </c>
      <c r="F21" s="10" t="s">
        <v>10</v>
      </c>
      <c r="G21" s="10" t="s">
        <v>11</v>
      </c>
      <c r="H21" s="47" t="s">
        <v>12</v>
      </c>
      <c r="I21" s="11" t="s">
        <v>2</v>
      </c>
      <c r="J21" s="11" t="s">
        <v>13</v>
      </c>
      <c r="K21" s="48" t="s">
        <v>14</v>
      </c>
      <c r="L21" s="10" t="s">
        <v>15</v>
      </c>
      <c r="M21" s="10" t="s">
        <v>16</v>
      </c>
      <c r="N21" s="13" t="s">
        <v>17</v>
      </c>
    </row>
    <row r="22" spans="1:16" ht="19.5" customHeight="1" thickTop="1">
      <c r="A22" s="235" t="s">
        <v>37</v>
      </c>
      <c r="B22" s="24" t="s">
        <v>22</v>
      </c>
      <c r="C22" s="26"/>
      <c r="D22" s="26"/>
      <c r="E22" s="26"/>
      <c r="F22" s="26"/>
      <c r="G22" s="26"/>
      <c r="H22" s="26"/>
      <c r="I22" s="27"/>
      <c r="J22" s="27"/>
      <c r="K22" s="26"/>
      <c r="L22" s="26"/>
      <c r="M22" s="26"/>
      <c r="N22" s="56" t="s">
        <v>55</v>
      </c>
      <c r="O22" s="29"/>
      <c r="P22" s="30"/>
    </row>
    <row r="23" spans="1:14" ht="19.5" customHeight="1">
      <c r="A23" s="236"/>
      <c r="B23" s="31" t="s">
        <v>35</v>
      </c>
      <c r="C23" s="33"/>
      <c r="D23" s="33"/>
      <c r="E23" s="33"/>
      <c r="F23" s="33"/>
      <c r="G23" s="33"/>
      <c r="H23" s="33"/>
      <c r="I23" s="53" t="s">
        <v>54</v>
      </c>
      <c r="J23" s="34"/>
      <c r="K23" s="34"/>
      <c r="L23" s="34"/>
      <c r="M23" s="34"/>
      <c r="N23" s="58" t="s">
        <v>56</v>
      </c>
    </row>
    <row r="24" spans="1:14" ht="19.5" customHeight="1">
      <c r="A24" s="236"/>
      <c r="B24" s="31" t="s">
        <v>36</v>
      </c>
      <c r="C24" s="33"/>
      <c r="D24" s="33"/>
      <c r="E24" s="33"/>
      <c r="F24" s="33"/>
      <c r="G24" s="33"/>
      <c r="H24" s="33"/>
      <c r="I24" s="53" t="s">
        <v>54</v>
      </c>
      <c r="J24" s="33"/>
      <c r="K24" s="34"/>
      <c r="L24" s="34"/>
      <c r="M24" s="34"/>
      <c r="N24" s="58" t="s">
        <v>57</v>
      </c>
    </row>
    <row r="25" spans="1:14" ht="19.5" customHeight="1" thickBot="1">
      <c r="A25" s="237"/>
      <c r="B25" s="36" t="s">
        <v>27</v>
      </c>
      <c r="C25" s="57">
        <v>0.3229166666666667</v>
      </c>
      <c r="D25" s="38">
        <v>63</v>
      </c>
      <c r="E25" s="38">
        <v>5</v>
      </c>
      <c r="F25" s="38">
        <v>12</v>
      </c>
      <c r="G25" s="38">
        <v>103</v>
      </c>
      <c r="H25" s="38">
        <v>270</v>
      </c>
      <c r="I25" s="39"/>
      <c r="J25" s="39"/>
      <c r="K25" s="59">
        <v>0</v>
      </c>
      <c r="L25" s="40" t="s">
        <v>20</v>
      </c>
      <c r="M25" s="40" t="s">
        <v>20</v>
      </c>
      <c r="N25" s="60" t="s">
        <v>58</v>
      </c>
    </row>
    <row r="26" spans="1:16" ht="19.5" customHeight="1" thickTop="1">
      <c r="A26" s="238" t="s">
        <v>30</v>
      </c>
      <c r="B26" s="24" t="s">
        <v>22</v>
      </c>
      <c r="C26" s="55">
        <v>0.34791666666666665</v>
      </c>
      <c r="D26" s="26">
        <v>68</v>
      </c>
      <c r="E26" s="26">
        <v>6</v>
      </c>
      <c r="F26" s="26">
        <v>9</v>
      </c>
      <c r="G26" s="26">
        <v>61</v>
      </c>
      <c r="H26" s="26">
        <v>200</v>
      </c>
      <c r="I26" s="27"/>
      <c r="J26" s="27"/>
      <c r="K26" s="26">
        <v>22.3</v>
      </c>
      <c r="L26" s="26">
        <v>4.1</v>
      </c>
      <c r="M26" s="26">
        <v>4.2</v>
      </c>
      <c r="N26" s="56" t="s">
        <v>59</v>
      </c>
      <c r="O26" s="29">
        <f>(H25-H26)*0.08</f>
        <v>5.6000000000000005</v>
      </c>
      <c r="P26" s="30">
        <f>O26/(K26-K25)*1000</f>
        <v>251.12107623318386</v>
      </c>
    </row>
    <row r="27" spans="1:14" ht="19.5" customHeight="1">
      <c r="A27" s="236"/>
      <c r="B27" s="31" t="s">
        <v>24</v>
      </c>
      <c r="C27" s="33"/>
      <c r="D27" s="33"/>
      <c r="E27" s="33"/>
      <c r="F27" s="127">
        <f>F26</f>
        <v>9</v>
      </c>
      <c r="G27" s="33"/>
      <c r="H27" s="127">
        <f>H26</f>
        <v>200</v>
      </c>
      <c r="I27" s="33">
        <v>71</v>
      </c>
      <c r="J27" s="34"/>
      <c r="K27" s="34"/>
      <c r="L27" s="34"/>
      <c r="M27" s="34"/>
      <c r="N27" s="58" t="s">
        <v>60</v>
      </c>
    </row>
    <row r="28" spans="1:14" ht="19.5" customHeight="1">
      <c r="A28" s="236"/>
      <c r="B28" s="31" t="s">
        <v>26</v>
      </c>
      <c r="C28" s="61">
        <v>0.37916666666666665</v>
      </c>
      <c r="D28" s="53" t="s">
        <v>61</v>
      </c>
      <c r="E28" s="33"/>
      <c r="F28" s="127">
        <f>F29</f>
        <v>12</v>
      </c>
      <c r="G28" s="33"/>
      <c r="H28" s="127">
        <f>H29</f>
        <v>262</v>
      </c>
      <c r="I28" s="33">
        <v>98</v>
      </c>
      <c r="J28" s="33">
        <v>5.475</v>
      </c>
      <c r="K28" s="34"/>
      <c r="L28" s="34"/>
      <c r="M28" s="34"/>
      <c r="N28" s="58" t="s">
        <v>62</v>
      </c>
    </row>
    <row r="29" spans="1:14" ht="19.5" customHeight="1" thickBot="1">
      <c r="A29" s="237"/>
      <c r="B29" s="36" t="s">
        <v>27</v>
      </c>
      <c r="C29" s="57">
        <v>0.38819444444444445</v>
      </c>
      <c r="D29" s="38">
        <v>68</v>
      </c>
      <c r="E29" s="38">
        <v>6</v>
      </c>
      <c r="F29" s="38">
        <v>12</v>
      </c>
      <c r="G29" s="38">
        <v>84</v>
      </c>
      <c r="H29" s="38">
        <v>262</v>
      </c>
      <c r="I29" s="39"/>
      <c r="J29" s="39"/>
      <c r="K29" s="40">
        <v>22.3</v>
      </c>
      <c r="L29" s="40" t="s">
        <v>20</v>
      </c>
      <c r="M29" s="40" t="s">
        <v>20</v>
      </c>
      <c r="N29" s="60" t="s">
        <v>63</v>
      </c>
    </row>
    <row r="30" spans="1:16" ht="19.5" customHeight="1" thickTop="1">
      <c r="A30" s="238" t="s">
        <v>28</v>
      </c>
      <c r="B30" s="24" t="s">
        <v>22</v>
      </c>
      <c r="C30" s="55">
        <v>0.4368055555555555</v>
      </c>
      <c r="D30" s="26">
        <v>57</v>
      </c>
      <c r="E30" s="26">
        <v>6</v>
      </c>
      <c r="F30" s="26">
        <v>3</v>
      </c>
      <c r="G30" s="26">
        <v>35</v>
      </c>
      <c r="H30" s="26">
        <v>106</v>
      </c>
      <c r="I30" s="27"/>
      <c r="J30" s="27"/>
      <c r="K30" s="26">
        <v>73.4</v>
      </c>
      <c r="L30" s="26">
        <v>4.1</v>
      </c>
      <c r="M30" s="26">
        <v>4.2</v>
      </c>
      <c r="N30" s="42"/>
      <c r="O30" s="29">
        <f>(H29-H30)*0.08</f>
        <v>12.48</v>
      </c>
      <c r="P30" s="30">
        <f>O30/(K30-K29)*1000</f>
        <v>244.22700587084145</v>
      </c>
    </row>
    <row r="31" spans="1:14" ht="19.5" customHeight="1">
      <c r="A31" s="236"/>
      <c r="B31" s="31" t="s">
        <v>24</v>
      </c>
      <c r="C31" s="61">
        <v>0.44027777777777777</v>
      </c>
      <c r="D31" s="33"/>
      <c r="E31" s="33"/>
      <c r="F31" s="127">
        <f>F30</f>
        <v>3</v>
      </c>
      <c r="G31" s="33"/>
      <c r="H31" s="127">
        <f>H30</f>
        <v>106</v>
      </c>
      <c r="I31" s="33">
        <v>41</v>
      </c>
      <c r="J31" s="34"/>
      <c r="K31" s="34"/>
      <c r="L31" s="34"/>
      <c r="M31" s="34"/>
      <c r="N31" s="58" t="s">
        <v>64</v>
      </c>
    </row>
    <row r="32" spans="1:14" ht="19.5" customHeight="1">
      <c r="A32" s="236"/>
      <c r="B32" s="31" t="s">
        <v>26</v>
      </c>
      <c r="C32" s="61">
        <v>0.4583333333333333</v>
      </c>
      <c r="D32" s="33"/>
      <c r="E32" s="33"/>
      <c r="F32" s="127">
        <f>F33</f>
        <v>9</v>
      </c>
      <c r="G32" s="33"/>
      <c r="H32" s="127">
        <f>H33</f>
        <v>224</v>
      </c>
      <c r="I32" s="33">
        <v>89</v>
      </c>
      <c r="J32" s="33">
        <v>9.607</v>
      </c>
      <c r="K32" s="34"/>
      <c r="L32" s="34"/>
      <c r="M32" s="34"/>
      <c r="N32" s="58" t="s">
        <v>65</v>
      </c>
    </row>
    <row r="33" spans="1:14" ht="19.5" customHeight="1" thickBot="1">
      <c r="A33" s="237"/>
      <c r="B33" s="36" t="s">
        <v>27</v>
      </c>
      <c r="C33" s="57">
        <v>0.47222222222222227</v>
      </c>
      <c r="D33" s="38">
        <v>57</v>
      </c>
      <c r="E33" s="38">
        <v>6</v>
      </c>
      <c r="F33" s="38">
        <v>9</v>
      </c>
      <c r="G33" s="38">
        <v>93</v>
      </c>
      <c r="H33" s="38">
        <v>224</v>
      </c>
      <c r="I33" s="39"/>
      <c r="J33" s="39"/>
      <c r="K33" s="40">
        <v>73.4</v>
      </c>
      <c r="L33" s="40" t="s">
        <v>20</v>
      </c>
      <c r="M33" s="40" t="s">
        <v>20</v>
      </c>
      <c r="N33" s="60" t="s">
        <v>66</v>
      </c>
    </row>
    <row r="34" spans="1:16" ht="19.5" customHeight="1" thickTop="1">
      <c r="A34" s="238" t="s">
        <v>21</v>
      </c>
      <c r="B34" s="24" t="s">
        <v>22</v>
      </c>
      <c r="C34" s="55">
        <v>0.4979166666666666</v>
      </c>
      <c r="D34" s="26">
        <v>65</v>
      </c>
      <c r="E34" s="26">
        <v>6</v>
      </c>
      <c r="F34" s="26">
        <v>7</v>
      </c>
      <c r="G34" s="26">
        <v>62</v>
      </c>
      <c r="H34" s="26">
        <v>164</v>
      </c>
      <c r="I34" s="27"/>
      <c r="J34" s="27"/>
      <c r="K34" s="26">
        <v>99.8</v>
      </c>
      <c r="L34" s="26">
        <v>5.6</v>
      </c>
      <c r="M34" s="26">
        <v>5.8</v>
      </c>
      <c r="N34" s="56" t="s">
        <v>67</v>
      </c>
      <c r="O34" s="29">
        <f>(H33-H34)*0.08</f>
        <v>4.8</v>
      </c>
      <c r="P34" s="30">
        <f>O34/(K34-K33)*1000</f>
        <v>181.81818181818187</v>
      </c>
    </row>
    <row r="35" spans="1:14" ht="19.5" customHeight="1">
      <c r="A35" s="236"/>
      <c r="B35" s="31" t="s">
        <v>24</v>
      </c>
      <c r="C35" s="61">
        <v>0.5</v>
      </c>
      <c r="D35" s="33"/>
      <c r="E35" s="33"/>
      <c r="F35" s="127">
        <f>F34</f>
        <v>7</v>
      </c>
      <c r="G35" s="33"/>
      <c r="H35" s="127">
        <f>H34</f>
        <v>164</v>
      </c>
      <c r="I35" s="33">
        <v>59</v>
      </c>
      <c r="J35" s="34"/>
      <c r="K35" s="34"/>
      <c r="L35" s="34"/>
      <c r="M35" s="34"/>
      <c r="N35" s="58" t="s">
        <v>68</v>
      </c>
    </row>
    <row r="36" spans="1:14" ht="19.5" customHeight="1">
      <c r="A36" s="236"/>
      <c r="B36" s="31" t="s">
        <v>26</v>
      </c>
      <c r="C36" s="61">
        <v>0.5097222222222222</v>
      </c>
      <c r="D36" s="33">
        <v>65</v>
      </c>
      <c r="E36" s="33">
        <v>6</v>
      </c>
      <c r="F36" s="33">
        <v>9</v>
      </c>
      <c r="G36" s="62" t="s">
        <v>53</v>
      </c>
      <c r="H36" s="33">
        <v>223</v>
      </c>
      <c r="I36" s="33">
        <v>88</v>
      </c>
      <c r="J36" s="33">
        <v>5.505</v>
      </c>
      <c r="K36" s="34"/>
      <c r="L36" s="34"/>
      <c r="M36" s="34"/>
      <c r="N36" s="58" t="s">
        <v>69</v>
      </c>
    </row>
    <row r="37" spans="1:14" ht="19.5" customHeight="1" thickBot="1">
      <c r="A37" s="237"/>
      <c r="B37" s="36" t="s">
        <v>27</v>
      </c>
      <c r="C37" s="57">
        <v>0.5111111111111112</v>
      </c>
      <c r="D37" s="38">
        <v>65</v>
      </c>
      <c r="E37" s="38">
        <v>6</v>
      </c>
      <c r="F37" s="38">
        <v>9</v>
      </c>
      <c r="G37" s="38">
        <v>90</v>
      </c>
      <c r="H37" s="38">
        <v>223</v>
      </c>
      <c r="I37" s="39"/>
      <c r="J37" s="39"/>
      <c r="K37" s="40">
        <v>99.8</v>
      </c>
      <c r="L37" s="40" t="s">
        <v>20</v>
      </c>
      <c r="M37" s="40" t="s">
        <v>20</v>
      </c>
      <c r="N37" s="60" t="s">
        <v>70</v>
      </c>
    </row>
    <row r="38" spans="1:16" ht="19.5" customHeight="1" thickBot="1" thickTop="1">
      <c r="A38" s="63"/>
      <c r="B38" s="17" t="s">
        <v>19</v>
      </c>
      <c r="C38" s="64">
        <v>0.059722222222222225</v>
      </c>
      <c r="D38" s="19">
        <v>69</v>
      </c>
      <c r="E38" s="19">
        <v>6</v>
      </c>
      <c r="F38" s="19">
        <v>5</v>
      </c>
      <c r="G38" s="19">
        <v>40</v>
      </c>
      <c r="H38" s="19">
        <v>136</v>
      </c>
      <c r="I38" s="20"/>
      <c r="J38" s="20"/>
      <c r="K38" s="21">
        <v>131.5</v>
      </c>
      <c r="L38" s="21">
        <v>4.6</v>
      </c>
      <c r="M38" s="21">
        <v>4.7</v>
      </c>
      <c r="N38" s="65" t="s">
        <v>71</v>
      </c>
      <c r="O38" s="29">
        <f>(H37-H38)*0.08</f>
        <v>6.96</v>
      </c>
      <c r="P38" s="30">
        <f>O38/(K38-K37)*1000</f>
        <v>219.5583596214511</v>
      </c>
    </row>
    <row r="39" ht="13.5" thickTop="1"/>
    <row r="40" spans="1:14" ht="19.5" customHeight="1">
      <c r="A40" s="66" t="s">
        <v>72</v>
      </c>
      <c r="B40" s="67" t="s">
        <v>73</v>
      </c>
      <c r="C40" s="61">
        <v>0.43263888888888885</v>
      </c>
      <c r="D40" s="62" t="s">
        <v>53</v>
      </c>
      <c r="E40" s="62" t="s">
        <v>53</v>
      </c>
      <c r="F40" s="62" t="s">
        <v>53</v>
      </c>
      <c r="G40" s="33">
        <v>19</v>
      </c>
      <c r="H40" s="33">
        <v>142</v>
      </c>
      <c r="I40" s="34"/>
      <c r="J40" s="34"/>
      <c r="K40" s="33">
        <v>73.8</v>
      </c>
      <c r="L40" s="68">
        <v>2</v>
      </c>
      <c r="M40" s="68">
        <v>2</v>
      </c>
      <c r="N40" s="58" t="s">
        <v>74</v>
      </c>
    </row>
    <row r="41" spans="1:14" ht="19.5" customHeight="1">
      <c r="A41" s="66" t="s">
        <v>75</v>
      </c>
      <c r="B41" s="67" t="s">
        <v>73</v>
      </c>
      <c r="C41" s="61">
        <v>0.42083333333333334</v>
      </c>
      <c r="D41" s="33">
        <v>49</v>
      </c>
      <c r="E41" s="33">
        <v>6</v>
      </c>
      <c r="F41" s="33">
        <v>4</v>
      </c>
      <c r="G41" s="33">
        <v>15</v>
      </c>
      <c r="H41" s="33">
        <v>103</v>
      </c>
      <c r="I41" s="34"/>
      <c r="J41" s="34"/>
      <c r="K41" s="33">
        <v>57.5</v>
      </c>
      <c r="L41" s="33">
        <v>2.9</v>
      </c>
      <c r="M41" s="68">
        <v>3</v>
      </c>
      <c r="N41" s="58" t="s">
        <v>76</v>
      </c>
    </row>
    <row r="42" ht="12.75">
      <c r="B42" s="66" t="s">
        <v>77</v>
      </c>
    </row>
    <row r="44" spans="2:16" ht="12.75">
      <c r="B44" t="s">
        <v>50</v>
      </c>
      <c r="O44">
        <f>(H29-H41)*0.08</f>
        <v>12.72</v>
      </c>
      <c r="P44" s="30">
        <f>O44/(K41-K29)*1000</f>
        <v>361.3636363636363</v>
      </c>
    </row>
    <row r="45" spans="2:16" ht="12.75">
      <c r="B45" t="s">
        <v>51</v>
      </c>
      <c r="O45">
        <f>(H41-H30)*0.08</f>
        <v>-0.24</v>
      </c>
      <c r="P45" s="30">
        <f>O45/(K30-K41)*1000</f>
        <v>-15.094339622641503</v>
      </c>
    </row>
    <row r="47" spans="2:16" ht="12.75">
      <c r="B47" t="s">
        <v>150</v>
      </c>
      <c r="O47">
        <f>(H11-H40)*0.08</f>
        <v>8.24</v>
      </c>
      <c r="P47" s="30">
        <f>O47/(K40-K11)*1000</f>
        <v>505.5214723926381</v>
      </c>
    </row>
    <row r="48" spans="2:16" ht="12.75">
      <c r="B48" t="s">
        <v>151</v>
      </c>
      <c r="O48">
        <f>(H40-H12)*0.08</f>
        <v>4</v>
      </c>
      <c r="P48" s="30">
        <f>O48/(K12-K40)*1000</f>
        <v>112.67605633802818</v>
      </c>
    </row>
  </sheetData>
  <sheetProtection/>
  <mergeCells count="12">
    <mergeCell ref="L1:M1"/>
    <mergeCell ref="L20:M20"/>
    <mergeCell ref="A4:A7"/>
    <mergeCell ref="A8:A11"/>
    <mergeCell ref="A12:A15"/>
    <mergeCell ref="A16:A19"/>
    <mergeCell ref="I1:J1"/>
    <mergeCell ref="I20:J20"/>
    <mergeCell ref="A22:A25"/>
    <mergeCell ref="A26:A29"/>
    <mergeCell ref="A30:A33"/>
    <mergeCell ref="A34:A37"/>
  </mergeCells>
  <printOptions/>
  <pageMargins left="0.7" right="0.4" top="0.75" bottom="0.5" header="0.5" footer="0.25"/>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N38"/>
  <sheetViews>
    <sheetView workbookViewId="0" topLeftCell="A1">
      <selection activeCell="A1" sqref="A1"/>
    </sheetView>
  </sheetViews>
  <sheetFormatPr defaultColWidth="9.140625" defaultRowHeight="12.75"/>
  <cols>
    <col min="1" max="1" width="4.7109375" style="0" customWidth="1"/>
    <col min="2" max="2" width="10.7109375" style="0" customWidth="1"/>
    <col min="3" max="4" width="6.7109375" style="0" customWidth="1"/>
    <col min="5" max="13" width="5.7109375" style="0" customWidth="1"/>
    <col min="14" max="14" width="14.7109375" style="0" customWidth="1"/>
  </cols>
  <sheetData>
    <row r="1" spans="1:14" ht="12.75">
      <c r="A1" s="1" t="s">
        <v>212</v>
      </c>
      <c r="B1" s="2"/>
      <c r="C1" s="3"/>
      <c r="D1" s="4" t="s">
        <v>0</v>
      </c>
      <c r="E1" s="5" t="s">
        <v>1</v>
      </c>
      <c r="F1" s="5" t="s">
        <v>2</v>
      </c>
      <c r="G1" s="5"/>
      <c r="H1" s="3"/>
      <c r="I1" s="257" t="s">
        <v>3</v>
      </c>
      <c r="J1" s="258"/>
      <c r="K1" s="3" t="s">
        <v>4</v>
      </c>
      <c r="L1" s="256" t="s">
        <v>5</v>
      </c>
      <c r="M1" s="256"/>
      <c r="N1" s="6" t="s">
        <v>6</v>
      </c>
    </row>
    <row r="2" spans="1:14" ht="13.5" thickBot="1">
      <c r="A2" s="7"/>
      <c r="B2" s="8" t="s">
        <v>7</v>
      </c>
      <c r="C2" s="9" t="s">
        <v>8</v>
      </c>
      <c r="D2" s="10" t="s">
        <v>9</v>
      </c>
      <c r="E2" s="10" t="s">
        <v>10</v>
      </c>
      <c r="F2" s="10" t="s">
        <v>10</v>
      </c>
      <c r="G2" s="10" t="s">
        <v>11</v>
      </c>
      <c r="H2" s="9" t="s">
        <v>12</v>
      </c>
      <c r="I2" s="11" t="s">
        <v>2</v>
      </c>
      <c r="J2" s="11" t="s">
        <v>13</v>
      </c>
      <c r="K2" s="12" t="s">
        <v>14</v>
      </c>
      <c r="L2" s="10" t="s">
        <v>15</v>
      </c>
      <c r="M2" s="10" t="s">
        <v>16</v>
      </c>
      <c r="N2" s="13" t="s">
        <v>17</v>
      </c>
    </row>
    <row r="3" spans="1:14" ht="19.5" customHeight="1" thickBot="1" thickTop="1">
      <c r="A3" s="16"/>
      <c r="B3" s="17" t="s">
        <v>19</v>
      </c>
      <c r="C3" s="64">
        <v>0.2798611111111111</v>
      </c>
      <c r="D3" s="19">
        <v>58</v>
      </c>
      <c r="E3" s="19">
        <v>5</v>
      </c>
      <c r="F3" s="19">
        <v>12</v>
      </c>
      <c r="G3" s="19">
        <v>114</v>
      </c>
      <c r="H3" s="19"/>
      <c r="I3" s="20"/>
      <c r="J3" s="20"/>
      <c r="K3" s="21">
        <v>0</v>
      </c>
      <c r="L3" s="22" t="s">
        <v>20</v>
      </c>
      <c r="M3" s="22" t="s">
        <v>20</v>
      </c>
      <c r="N3" s="23" t="s">
        <v>78</v>
      </c>
    </row>
    <row r="4" spans="1:14" ht="19.5" customHeight="1" thickTop="1">
      <c r="A4" s="255" t="s">
        <v>21</v>
      </c>
      <c r="B4" s="24" t="s">
        <v>22</v>
      </c>
      <c r="C4" s="55">
        <v>0.34722222222222227</v>
      </c>
      <c r="D4" s="26">
        <v>58</v>
      </c>
      <c r="E4" s="26">
        <v>5</v>
      </c>
      <c r="F4" s="26">
        <v>7</v>
      </c>
      <c r="G4" s="26">
        <v>52</v>
      </c>
      <c r="H4" s="26"/>
      <c r="I4" s="27"/>
      <c r="J4" s="27"/>
      <c r="K4" s="26">
        <v>23.3</v>
      </c>
      <c r="L4" s="26">
        <v>3.6</v>
      </c>
      <c r="M4" s="26">
        <v>3.7</v>
      </c>
      <c r="N4" s="28" t="s">
        <v>78</v>
      </c>
    </row>
    <row r="5" spans="1:14" ht="19.5" customHeight="1">
      <c r="A5" s="253"/>
      <c r="B5" s="31" t="s">
        <v>24</v>
      </c>
      <c r="C5" s="61">
        <v>0.3506944444444444</v>
      </c>
      <c r="D5" s="33">
        <v>58</v>
      </c>
      <c r="E5" s="33">
        <v>5</v>
      </c>
      <c r="F5" s="33">
        <v>7</v>
      </c>
      <c r="G5" s="33">
        <v>52</v>
      </c>
      <c r="H5" s="33"/>
      <c r="I5" s="33">
        <v>58</v>
      </c>
      <c r="J5" s="34"/>
      <c r="K5" s="34"/>
      <c r="L5" s="34"/>
      <c r="M5" s="34"/>
      <c r="N5" s="35"/>
    </row>
    <row r="6" spans="1:14" ht="19.5" customHeight="1">
      <c r="A6" s="253"/>
      <c r="B6" s="31" t="s">
        <v>26</v>
      </c>
      <c r="C6" s="61">
        <v>0.37847222222222227</v>
      </c>
      <c r="D6" s="33">
        <v>58</v>
      </c>
      <c r="E6" s="33">
        <v>6</v>
      </c>
      <c r="F6" s="33">
        <v>11</v>
      </c>
      <c r="G6" s="33">
        <v>82</v>
      </c>
      <c r="H6" s="33"/>
      <c r="I6" s="33">
        <v>98</v>
      </c>
      <c r="J6" s="33">
        <v>6.55</v>
      </c>
      <c r="K6" s="34"/>
      <c r="L6" s="34"/>
      <c r="M6" s="34"/>
      <c r="N6" s="35"/>
    </row>
    <row r="7" spans="1:14" ht="19.5" customHeight="1" thickBot="1">
      <c r="A7" s="254"/>
      <c r="B7" s="36" t="s">
        <v>27</v>
      </c>
      <c r="C7" s="57">
        <v>0.39166666666666666</v>
      </c>
      <c r="D7" s="38">
        <v>58</v>
      </c>
      <c r="E7" s="38">
        <v>6</v>
      </c>
      <c r="F7" s="38">
        <v>11</v>
      </c>
      <c r="G7" s="38">
        <v>81</v>
      </c>
      <c r="H7" s="38"/>
      <c r="I7" s="39"/>
      <c r="J7" s="39"/>
      <c r="K7" s="40">
        <v>23.3</v>
      </c>
      <c r="L7" s="40" t="s">
        <v>20</v>
      </c>
      <c r="M7" s="40" t="s">
        <v>20</v>
      </c>
      <c r="N7" s="41"/>
    </row>
    <row r="8" spans="1:14" ht="19.5" customHeight="1" thickTop="1">
      <c r="A8" s="255" t="s">
        <v>28</v>
      </c>
      <c r="B8" s="24" t="s">
        <v>22</v>
      </c>
      <c r="C8" s="55">
        <v>0.4145833333333333</v>
      </c>
      <c r="D8" s="26">
        <v>59</v>
      </c>
      <c r="E8" s="26">
        <v>6</v>
      </c>
      <c r="F8" s="26">
        <v>6</v>
      </c>
      <c r="G8" s="26">
        <v>35</v>
      </c>
      <c r="H8" s="26"/>
      <c r="I8" s="27"/>
      <c r="J8" s="27"/>
      <c r="K8" s="26">
        <v>49.8</v>
      </c>
      <c r="L8" s="26"/>
      <c r="M8" s="26"/>
      <c r="N8" s="42"/>
    </row>
    <row r="9" spans="1:14" ht="19.5" customHeight="1">
      <c r="A9" s="253"/>
      <c r="B9" s="31" t="s">
        <v>24</v>
      </c>
      <c r="C9" s="61">
        <v>0.4159722222222222</v>
      </c>
      <c r="D9" s="33">
        <v>59</v>
      </c>
      <c r="E9" s="33">
        <v>6</v>
      </c>
      <c r="F9" s="33">
        <v>6</v>
      </c>
      <c r="G9" s="33">
        <v>35</v>
      </c>
      <c r="H9" s="33"/>
      <c r="I9" s="33">
        <v>59</v>
      </c>
      <c r="J9" s="34"/>
      <c r="K9" s="34"/>
      <c r="L9" s="34"/>
      <c r="M9" s="34"/>
      <c r="N9" s="35"/>
    </row>
    <row r="10" spans="1:14" ht="19.5" customHeight="1">
      <c r="A10" s="253"/>
      <c r="B10" s="31" t="s">
        <v>26</v>
      </c>
      <c r="C10" s="61">
        <v>0.4388888888888889</v>
      </c>
      <c r="D10" s="33">
        <v>59</v>
      </c>
      <c r="E10" s="33">
        <v>6</v>
      </c>
      <c r="F10" s="33">
        <v>11</v>
      </c>
      <c r="G10" s="33">
        <v>67</v>
      </c>
      <c r="H10" s="33"/>
      <c r="I10" s="33">
        <v>98</v>
      </c>
      <c r="J10" s="33">
        <v>9.35</v>
      </c>
      <c r="K10" s="34"/>
      <c r="L10" s="34"/>
      <c r="M10" s="34"/>
      <c r="N10" s="35"/>
    </row>
    <row r="11" spans="1:14" ht="19.5" customHeight="1" thickBot="1">
      <c r="A11" s="254"/>
      <c r="B11" s="36" t="s">
        <v>27</v>
      </c>
      <c r="C11" s="57">
        <v>0.45555555555555555</v>
      </c>
      <c r="D11" s="38">
        <v>59</v>
      </c>
      <c r="E11" s="38">
        <v>6</v>
      </c>
      <c r="F11" s="38">
        <v>12</v>
      </c>
      <c r="G11" s="38">
        <v>69</v>
      </c>
      <c r="H11" s="38"/>
      <c r="I11" s="39"/>
      <c r="J11" s="39"/>
      <c r="K11" s="40">
        <v>49.8</v>
      </c>
      <c r="L11" s="40" t="s">
        <v>20</v>
      </c>
      <c r="M11" s="40" t="s">
        <v>20</v>
      </c>
      <c r="N11" s="41"/>
    </row>
    <row r="12" spans="1:14" ht="19.5" customHeight="1" thickTop="1">
      <c r="A12" s="255" t="s">
        <v>30</v>
      </c>
      <c r="B12" s="24" t="s">
        <v>22</v>
      </c>
      <c r="C12" s="55">
        <v>0.5</v>
      </c>
      <c r="D12" s="26">
        <v>70</v>
      </c>
      <c r="E12" s="26">
        <v>6</v>
      </c>
      <c r="F12" s="26">
        <v>3</v>
      </c>
      <c r="G12" s="26">
        <v>38</v>
      </c>
      <c r="H12" s="26"/>
      <c r="I12" s="27"/>
      <c r="J12" s="27"/>
      <c r="K12" s="26">
        <v>101</v>
      </c>
      <c r="L12" s="26">
        <v>4.2</v>
      </c>
      <c r="M12" s="26">
        <v>4.3</v>
      </c>
      <c r="N12" s="42" t="s">
        <v>79</v>
      </c>
    </row>
    <row r="13" spans="1:14" ht="19.5" customHeight="1">
      <c r="A13" s="253"/>
      <c r="B13" s="31" t="s">
        <v>24</v>
      </c>
      <c r="C13" s="61">
        <v>0.5034722222222222</v>
      </c>
      <c r="D13" s="33">
        <v>70</v>
      </c>
      <c r="E13" s="33">
        <v>6</v>
      </c>
      <c r="F13" s="33">
        <v>3</v>
      </c>
      <c r="G13" s="33">
        <v>38</v>
      </c>
      <c r="H13" s="33"/>
      <c r="I13" s="33">
        <v>43</v>
      </c>
      <c r="J13" s="34"/>
      <c r="K13" s="34"/>
      <c r="L13" s="34"/>
      <c r="M13" s="34"/>
      <c r="N13" s="35"/>
    </row>
    <row r="14" spans="1:14" ht="19.5" customHeight="1">
      <c r="A14" s="253"/>
      <c r="B14" s="31" t="s">
        <v>26</v>
      </c>
      <c r="C14" s="61">
        <v>0.5208333333333334</v>
      </c>
      <c r="D14" s="33">
        <v>71</v>
      </c>
      <c r="E14" s="33">
        <v>7</v>
      </c>
      <c r="F14" s="33">
        <v>10</v>
      </c>
      <c r="G14" s="33">
        <v>108</v>
      </c>
      <c r="H14" s="33"/>
      <c r="I14" s="33">
        <v>89</v>
      </c>
      <c r="J14" s="33">
        <v>10.53</v>
      </c>
      <c r="K14" s="34"/>
      <c r="L14" s="34"/>
      <c r="M14" s="34"/>
      <c r="N14" s="35"/>
    </row>
    <row r="15" spans="1:14" ht="19.5" customHeight="1" thickBot="1">
      <c r="A15" s="254"/>
      <c r="B15" s="36" t="s">
        <v>27</v>
      </c>
      <c r="C15" s="57">
        <v>0.5812499999999999</v>
      </c>
      <c r="D15" s="38">
        <v>70</v>
      </c>
      <c r="E15" s="38">
        <v>6</v>
      </c>
      <c r="F15" s="38">
        <v>10</v>
      </c>
      <c r="G15" s="38">
        <v>107</v>
      </c>
      <c r="H15" s="38"/>
      <c r="I15" s="39"/>
      <c r="J15" s="39"/>
      <c r="K15" s="40">
        <v>101.1</v>
      </c>
      <c r="L15" s="40" t="s">
        <v>20</v>
      </c>
      <c r="M15" s="40" t="s">
        <v>20</v>
      </c>
      <c r="N15" s="41"/>
    </row>
    <row r="16" spans="1:14" ht="19.5" customHeight="1" thickTop="1">
      <c r="A16" s="252" t="s">
        <v>33</v>
      </c>
      <c r="B16" s="24" t="s">
        <v>22</v>
      </c>
      <c r="C16" s="55">
        <v>0.6041666666666666</v>
      </c>
      <c r="D16" s="26">
        <v>85</v>
      </c>
      <c r="E16" s="26">
        <v>6</v>
      </c>
      <c r="F16" s="26">
        <v>8</v>
      </c>
      <c r="G16" s="26">
        <v>65</v>
      </c>
      <c r="H16" s="26"/>
      <c r="I16" s="27"/>
      <c r="J16" s="27"/>
      <c r="K16" s="26">
        <v>121.6</v>
      </c>
      <c r="L16" s="26">
        <v>4.4</v>
      </c>
      <c r="M16" s="26">
        <v>4.5</v>
      </c>
      <c r="N16" s="42" t="s">
        <v>79</v>
      </c>
    </row>
    <row r="17" spans="1:14" ht="19.5" customHeight="1">
      <c r="A17" s="253"/>
      <c r="B17" s="31" t="s">
        <v>35</v>
      </c>
      <c r="C17" s="33"/>
      <c r="D17" s="33"/>
      <c r="E17" s="33"/>
      <c r="F17" s="33"/>
      <c r="G17" s="33"/>
      <c r="H17" s="33"/>
      <c r="I17" s="34"/>
      <c r="J17" s="34"/>
      <c r="K17" s="34"/>
      <c r="L17" s="34"/>
      <c r="M17" s="34"/>
      <c r="N17" s="35" t="s">
        <v>80</v>
      </c>
    </row>
    <row r="18" spans="1:14" ht="19.5" customHeight="1">
      <c r="A18" s="253"/>
      <c r="B18" s="31" t="s">
        <v>36</v>
      </c>
      <c r="C18" s="33"/>
      <c r="D18" s="33"/>
      <c r="E18" s="33"/>
      <c r="F18" s="33"/>
      <c r="G18" s="33"/>
      <c r="H18" s="33"/>
      <c r="I18" s="34"/>
      <c r="J18" s="43"/>
      <c r="K18" s="34"/>
      <c r="L18" s="34"/>
      <c r="M18" s="34"/>
      <c r="N18" s="35" t="s">
        <v>81</v>
      </c>
    </row>
    <row r="19" spans="1:14" ht="19.5" customHeight="1" thickBot="1">
      <c r="A19" s="254"/>
      <c r="B19" s="36" t="s">
        <v>27</v>
      </c>
      <c r="C19" s="57">
        <v>0.3625</v>
      </c>
      <c r="D19" s="38">
        <v>63</v>
      </c>
      <c r="E19" s="38">
        <v>5</v>
      </c>
      <c r="F19" s="38">
        <v>12</v>
      </c>
      <c r="G19" s="38">
        <v>107</v>
      </c>
      <c r="H19" s="38"/>
      <c r="I19" s="39"/>
      <c r="J19" s="39"/>
      <c r="K19" s="40"/>
      <c r="L19" s="40" t="s">
        <v>20</v>
      </c>
      <c r="M19" s="40" t="s">
        <v>20</v>
      </c>
      <c r="N19" s="41" t="s">
        <v>82</v>
      </c>
    </row>
    <row r="20" spans="1:14" ht="13.5" thickTop="1">
      <c r="A20" s="1"/>
      <c r="B20" s="2"/>
      <c r="C20" s="3"/>
      <c r="D20" s="4" t="s">
        <v>0</v>
      </c>
      <c r="E20" s="5" t="s">
        <v>1</v>
      </c>
      <c r="F20" s="5" t="s">
        <v>2</v>
      </c>
      <c r="G20" s="5"/>
      <c r="H20" s="3"/>
      <c r="I20" s="257" t="s">
        <v>3</v>
      </c>
      <c r="J20" s="258"/>
      <c r="K20" s="3" t="s">
        <v>4</v>
      </c>
      <c r="L20" s="256" t="s">
        <v>5</v>
      </c>
      <c r="M20" s="256"/>
      <c r="N20" s="44" t="s">
        <v>6</v>
      </c>
    </row>
    <row r="21" spans="1:14" ht="13.5" thickBot="1">
      <c r="A21" s="7"/>
      <c r="B21" s="8" t="s">
        <v>7</v>
      </c>
      <c r="C21" s="9" t="s">
        <v>8</v>
      </c>
      <c r="D21" s="10" t="s">
        <v>9</v>
      </c>
      <c r="E21" s="10" t="s">
        <v>10</v>
      </c>
      <c r="F21" s="10" t="s">
        <v>10</v>
      </c>
      <c r="G21" s="10" t="s">
        <v>11</v>
      </c>
      <c r="H21" s="9" t="s">
        <v>12</v>
      </c>
      <c r="I21" s="11" t="s">
        <v>2</v>
      </c>
      <c r="J21" s="11" t="s">
        <v>13</v>
      </c>
      <c r="K21" s="12" t="s">
        <v>14</v>
      </c>
      <c r="L21" s="10" t="s">
        <v>15</v>
      </c>
      <c r="M21" s="10" t="s">
        <v>16</v>
      </c>
      <c r="N21" s="13" t="s">
        <v>17</v>
      </c>
    </row>
    <row r="22" spans="1:14" ht="19.5" customHeight="1" thickTop="1">
      <c r="A22" s="252" t="s">
        <v>37</v>
      </c>
      <c r="B22" s="24" t="s">
        <v>22</v>
      </c>
      <c r="C22" s="26"/>
      <c r="D22" s="26"/>
      <c r="E22" s="26"/>
      <c r="F22" s="26"/>
      <c r="G22" s="26"/>
      <c r="H22" s="26"/>
      <c r="I22" s="27"/>
      <c r="J22" s="27"/>
      <c r="K22" s="26"/>
      <c r="L22" s="26"/>
      <c r="M22" s="26"/>
      <c r="N22" s="42"/>
    </row>
    <row r="23" spans="1:14" ht="19.5" customHeight="1">
      <c r="A23" s="253"/>
      <c r="B23" s="31" t="s">
        <v>35</v>
      </c>
      <c r="C23" s="33"/>
      <c r="D23" s="33"/>
      <c r="E23" s="33"/>
      <c r="F23" s="33"/>
      <c r="G23" s="33"/>
      <c r="H23" s="33"/>
      <c r="I23" s="33"/>
      <c r="J23" s="34"/>
      <c r="K23" s="34"/>
      <c r="L23" s="34"/>
      <c r="M23" s="34"/>
      <c r="N23" s="35"/>
    </row>
    <row r="24" spans="1:14" ht="19.5" customHeight="1">
      <c r="A24" s="253"/>
      <c r="B24" s="31" t="s">
        <v>36</v>
      </c>
      <c r="C24" s="33"/>
      <c r="D24" s="33"/>
      <c r="E24" s="33"/>
      <c r="F24" s="33"/>
      <c r="G24" s="33"/>
      <c r="H24" s="33"/>
      <c r="I24" s="33"/>
      <c r="J24" s="33"/>
      <c r="K24" s="34"/>
      <c r="L24" s="34"/>
      <c r="M24" s="34"/>
      <c r="N24" s="35"/>
    </row>
    <row r="25" spans="1:14" ht="19.5" customHeight="1" thickBot="1">
      <c r="A25" s="254"/>
      <c r="B25" s="36" t="s">
        <v>27</v>
      </c>
      <c r="C25" s="38"/>
      <c r="D25" s="38"/>
      <c r="E25" s="38"/>
      <c r="F25" s="38"/>
      <c r="G25" s="38"/>
      <c r="H25" s="38"/>
      <c r="I25" s="39"/>
      <c r="J25" s="39"/>
      <c r="K25" s="40"/>
      <c r="L25" s="40" t="s">
        <v>20</v>
      </c>
      <c r="M25" s="40" t="s">
        <v>20</v>
      </c>
      <c r="N25" s="41"/>
    </row>
    <row r="26" spans="1:14" ht="19.5" customHeight="1" thickTop="1">
      <c r="A26" s="255" t="s">
        <v>30</v>
      </c>
      <c r="B26" s="24" t="s">
        <v>22</v>
      </c>
      <c r="C26" s="55"/>
      <c r="D26" s="26"/>
      <c r="E26" s="26"/>
      <c r="F26" s="26"/>
      <c r="G26" s="26"/>
      <c r="H26" s="26"/>
      <c r="I26" s="27"/>
      <c r="J26" s="27"/>
      <c r="K26" s="26"/>
      <c r="L26" s="26"/>
      <c r="M26" s="26"/>
      <c r="N26" s="42" t="s">
        <v>83</v>
      </c>
    </row>
    <row r="27" spans="1:14" ht="19.5" customHeight="1">
      <c r="A27" s="253"/>
      <c r="B27" s="31" t="s">
        <v>24</v>
      </c>
      <c r="C27" s="61">
        <v>0.38819444444444445</v>
      </c>
      <c r="D27" s="33">
        <v>71</v>
      </c>
      <c r="E27" s="33">
        <v>6</v>
      </c>
      <c r="F27" s="33">
        <v>8</v>
      </c>
      <c r="G27" s="33">
        <v>52</v>
      </c>
      <c r="H27" s="33"/>
      <c r="I27" s="33">
        <v>71</v>
      </c>
      <c r="J27" s="34"/>
      <c r="K27" s="34"/>
      <c r="L27" s="34"/>
      <c r="M27" s="34"/>
      <c r="N27" s="35"/>
    </row>
    <row r="28" spans="1:14" ht="19.5" customHeight="1">
      <c r="A28" s="253"/>
      <c r="B28" s="31" t="s">
        <v>26</v>
      </c>
      <c r="C28" s="61">
        <v>0.4201388888888889</v>
      </c>
      <c r="D28" s="33">
        <v>71</v>
      </c>
      <c r="E28" s="33">
        <v>6</v>
      </c>
      <c r="F28" s="33">
        <v>12</v>
      </c>
      <c r="G28" s="33">
        <v>52</v>
      </c>
      <c r="H28" s="33"/>
      <c r="I28" s="33">
        <v>98</v>
      </c>
      <c r="J28" s="33">
        <v>5.79</v>
      </c>
      <c r="K28" s="34"/>
      <c r="L28" s="34"/>
      <c r="M28" s="34"/>
      <c r="N28" s="35"/>
    </row>
    <row r="29" spans="1:14" ht="19.5" customHeight="1" thickBot="1">
      <c r="A29" s="254"/>
      <c r="B29" s="36" t="s">
        <v>27</v>
      </c>
      <c r="C29" s="57">
        <v>0.47291666666666665</v>
      </c>
      <c r="D29" s="38">
        <v>71</v>
      </c>
      <c r="E29" s="38">
        <v>6</v>
      </c>
      <c r="F29" s="38">
        <v>12</v>
      </c>
      <c r="G29" s="38">
        <v>83</v>
      </c>
      <c r="H29" s="38"/>
      <c r="I29" s="39"/>
      <c r="J29" s="39"/>
      <c r="K29" s="40"/>
      <c r="L29" s="40" t="s">
        <v>20</v>
      </c>
      <c r="M29" s="40" t="s">
        <v>20</v>
      </c>
      <c r="N29" s="41"/>
    </row>
    <row r="30" spans="1:14" ht="19.5" customHeight="1" thickTop="1">
      <c r="A30" s="255" t="s">
        <v>28</v>
      </c>
      <c r="B30" s="24" t="s">
        <v>22</v>
      </c>
      <c r="C30" s="55">
        <v>0.5291666666666667</v>
      </c>
      <c r="D30" s="26">
        <v>56</v>
      </c>
      <c r="E30" s="26">
        <v>6</v>
      </c>
      <c r="F30" s="26">
        <v>3</v>
      </c>
      <c r="G30" s="26">
        <v>27</v>
      </c>
      <c r="H30" s="26"/>
      <c r="I30" s="27"/>
      <c r="J30" s="27"/>
      <c r="K30" s="26">
        <v>203.7</v>
      </c>
      <c r="L30" s="26">
        <v>3.4</v>
      </c>
      <c r="M30" s="26">
        <v>3.5</v>
      </c>
      <c r="N30" s="42" t="s">
        <v>84</v>
      </c>
    </row>
    <row r="31" spans="1:14" ht="19.5" customHeight="1">
      <c r="A31" s="253"/>
      <c r="B31" s="31" t="s">
        <v>24</v>
      </c>
      <c r="C31" s="61">
        <v>0.5361111111111111</v>
      </c>
      <c r="D31" s="33">
        <v>56</v>
      </c>
      <c r="E31" s="33">
        <v>6</v>
      </c>
      <c r="F31" s="33">
        <v>3</v>
      </c>
      <c r="G31" s="33">
        <v>27</v>
      </c>
      <c r="H31" s="33"/>
      <c r="I31" s="33">
        <v>59</v>
      </c>
      <c r="J31" s="34"/>
      <c r="K31" s="34"/>
      <c r="L31" s="34"/>
      <c r="M31" s="34"/>
      <c r="N31" s="35" t="s">
        <v>85</v>
      </c>
    </row>
    <row r="32" spans="1:14" ht="19.5" customHeight="1">
      <c r="A32" s="253"/>
      <c r="B32" s="31" t="s">
        <v>26</v>
      </c>
      <c r="C32" s="61">
        <v>0.5555555555555556</v>
      </c>
      <c r="D32" s="33">
        <v>56</v>
      </c>
      <c r="E32" s="33">
        <v>6</v>
      </c>
      <c r="F32" s="33">
        <v>9</v>
      </c>
      <c r="G32" s="33">
        <v>92</v>
      </c>
      <c r="H32" s="33"/>
      <c r="I32" s="33">
        <v>89</v>
      </c>
      <c r="J32" s="33">
        <v>11.36</v>
      </c>
      <c r="K32" s="34"/>
      <c r="L32" s="34"/>
      <c r="M32" s="34"/>
      <c r="N32" s="35" t="s">
        <v>86</v>
      </c>
    </row>
    <row r="33" spans="1:14" ht="19.5" customHeight="1" thickBot="1">
      <c r="A33" s="254"/>
      <c r="B33" s="36" t="s">
        <v>27</v>
      </c>
      <c r="C33" s="57">
        <v>0.5625</v>
      </c>
      <c r="D33" s="38">
        <v>56</v>
      </c>
      <c r="E33" s="38">
        <v>6</v>
      </c>
      <c r="F33" s="38">
        <v>9</v>
      </c>
      <c r="G33" s="38">
        <v>92</v>
      </c>
      <c r="H33" s="38"/>
      <c r="I33" s="39"/>
      <c r="J33" s="39"/>
      <c r="K33" s="40">
        <v>204.1</v>
      </c>
      <c r="L33" s="40" t="s">
        <v>20</v>
      </c>
      <c r="M33" s="40" t="s">
        <v>20</v>
      </c>
      <c r="N33" s="41" t="s">
        <v>25</v>
      </c>
    </row>
    <row r="34" spans="1:14" ht="19.5" customHeight="1" thickTop="1">
      <c r="A34" s="255" t="s">
        <v>21</v>
      </c>
      <c r="B34" s="24" t="s">
        <v>22</v>
      </c>
      <c r="C34" s="26"/>
      <c r="D34" s="26"/>
      <c r="E34" s="26"/>
      <c r="F34" s="26"/>
      <c r="G34" s="26"/>
      <c r="H34" s="26"/>
      <c r="I34" s="27"/>
      <c r="J34" s="27"/>
      <c r="K34" s="26"/>
      <c r="L34" s="26"/>
      <c r="M34" s="26"/>
      <c r="N34" s="42" t="s">
        <v>87</v>
      </c>
    </row>
    <row r="35" spans="1:14" ht="19.5" customHeight="1">
      <c r="A35" s="253"/>
      <c r="B35" s="31" t="s">
        <v>24</v>
      </c>
      <c r="C35" s="33"/>
      <c r="D35" s="33"/>
      <c r="E35" s="33"/>
      <c r="F35" s="33"/>
      <c r="G35" s="33"/>
      <c r="H35" s="33"/>
      <c r="I35" s="33"/>
      <c r="J35" s="34"/>
      <c r="K35" s="34"/>
      <c r="L35" s="34"/>
      <c r="M35" s="34"/>
      <c r="N35" s="35" t="s">
        <v>88</v>
      </c>
    </row>
    <row r="36" spans="1:14" ht="19.5" customHeight="1">
      <c r="A36" s="253"/>
      <c r="B36" s="31" t="s">
        <v>26</v>
      </c>
      <c r="C36" s="33"/>
      <c r="D36" s="33"/>
      <c r="E36" s="33"/>
      <c r="F36" s="33"/>
      <c r="G36" s="33"/>
      <c r="H36" s="33"/>
      <c r="I36" s="33"/>
      <c r="J36" s="33"/>
      <c r="K36" s="34"/>
      <c r="L36" s="34"/>
      <c r="M36" s="34"/>
      <c r="N36" s="35" t="s">
        <v>89</v>
      </c>
    </row>
    <row r="37" spans="1:14" ht="19.5" customHeight="1" thickBot="1">
      <c r="A37" s="254"/>
      <c r="B37" s="36" t="s">
        <v>27</v>
      </c>
      <c r="C37" s="38"/>
      <c r="D37" s="38"/>
      <c r="E37" s="38"/>
      <c r="F37" s="38"/>
      <c r="G37" s="38"/>
      <c r="H37" s="38"/>
      <c r="I37" s="39"/>
      <c r="J37" s="39"/>
      <c r="K37" s="40"/>
      <c r="L37" s="40" t="s">
        <v>20</v>
      </c>
      <c r="M37" s="40" t="s">
        <v>20</v>
      </c>
      <c r="N37" s="41"/>
    </row>
    <row r="38" spans="1:14" ht="19.5" customHeight="1" thickBot="1" thickTop="1">
      <c r="A38" s="45"/>
      <c r="B38" s="17" t="s">
        <v>19</v>
      </c>
      <c r="C38" s="64">
        <v>0.6263888888888889</v>
      </c>
      <c r="D38" s="19">
        <v>53</v>
      </c>
      <c r="E38" s="19">
        <v>6</v>
      </c>
      <c r="F38" s="19">
        <v>1</v>
      </c>
      <c r="G38" s="19">
        <v>11</v>
      </c>
      <c r="H38" s="19"/>
      <c r="I38" s="20"/>
      <c r="J38" s="20"/>
      <c r="K38" s="21">
        <v>254.8</v>
      </c>
      <c r="L38" s="21">
        <v>3.8</v>
      </c>
      <c r="M38" s="21">
        <v>3.9</v>
      </c>
      <c r="N38" s="23" t="s">
        <v>90</v>
      </c>
    </row>
    <row r="39" ht="13.5" thickTop="1"/>
  </sheetData>
  <sheetProtection/>
  <mergeCells count="12">
    <mergeCell ref="L1:M1"/>
    <mergeCell ref="L20:M20"/>
    <mergeCell ref="A4:A7"/>
    <mergeCell ref="A8:A11"/>
    <mergeCell ref="A12:A15"/>
    <mergeCell ref="A16:A19"/>
    <mergeCell ref="I1:J1"/>
    <mergeCell ref="I20:J20"/>
    <mergeCell ref="A22:A25"/>
    <mergeCell ref="A26:A29"/>
    <mergeCell ref="A30:A33"/>
    <mergeCell ref="A34:A37"/>
  </mergeCells>
  <printOptions/>
  <pageMargins left="0.7" right="0.4" top="0.75" bottom="0.5" header="0.5" footer="0.2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V49"/>
  <sheetViews>
    <sheetView workbookViewId="0" topLeftCell="A1">
      <pane ySplit="2" topLeftCell="BM3" activePane="bottomLeft" state="frozen"/>
      <selection pane="topLeft" activeCell="C1" sqref="C1"/>
      <selection pane="bottomLeft" activeCell="A1" sqref="A1"/>
    </sheetView>
  </sheetViews>
  <sheetFormatPr defaultColWidth="9.140625" defaultRowHeight="12.75"/>
  <cols>
    <col min="1" max="1" width="4.7109375" style="0" customWidth="1"/>
    <col min="2" max="2" width="10.7109375" style="0" customWidth="1"/>
    <col min="3" max="3" width="8.7109375" style="0" customWidth="1"/>
    <col min="4" max="4" width="6.7109375" style="0" customWidth="1"/>
    <col min="5" max="13" width="5.7109375" style="0" customWidth="1"/>
    <col min="14" max="14" width="14.7109375" style="0" customWidth="1"/>
    <col min="15" max="22" width="6.7109375" style="0" customWidth="1"/>
  </cols>
  <sheetData>
    <row r="1" spans="1:22" ht="12.75">
      <c r="A1" s="1" t="s">
        <v>101</v>
      </c>
      <c r="B1" s="2"/>
      <c r="C1" s="3"/>
      <c r="D1" s="4" t="s">
        <v>0</v>
      </c>
      <c r="E1" s="5" t="s">
        <v>1</v>
      </c>
      <c r="F1" s="5" t="s">
        <v>2</v>
      </c>
      <c r="G1" s="5"/>
      <c r="H1" s="3"/>
      <c r="I1" s="257" t="s">
        <v>3</v>
      </c>
      <c r="J1" s="258"/>
      <c r="K1" s="3" t="s">
        <v>4</v>
      </c>
      <c r="L1" s="256" t="s">
        <v>5</v>
      </c>
      <c r="M1" s="256"/>
      <c r="N1" s="6" t="s">
        <v>6</v>
      </c>
      <c r="O1" s="244" t="s">
        <v>120</v>
      </c>
      <c r="P1" s="243"/>
      <c r="Q1" s="243" t="s">
        <v>121</v>
      </c>
      <c r="R1" s="243"/>
      <c r="S1" s="243"/>
      <c r="T1" s="243"/>
      <c r="U1" s="243"/>
      <c r="V1" s="243"/>
    </row>
    <row r="2" spans="1:22" ht="13.5" thickBot="1">
      <c r="A2" s="7"/>
      <c r="B2" s="8" t="s">
        <v>7</v>
      </c>
      <c r="C2" s="9" t="s">
        <v>8</v>
      </c>
      <c r="D2" s="10" t="s">
        <v>9</v>
      </c>
      <c r="E2" s="10" t="s">
        <v>10</v>
      </c>
      <c r="F2" s="10" t="s">
        <v>10</v>
      </c>
      <c r="G2" s="10" t="s">
        <v>11</v>
      </c>
      <c r="H2" s="9" t="s">
        <v>12</v>
      </c>
      <c r="I2" s="11" t="s">
        <v>2</v>
      </c>
      <c r="J2" s="11" t="s">
        <v>13</v>
      </c>
      <c r="K2" s="12" t="s">
        <v>14</v>
      </c>
      <c r="L2" s="10" t="s">
        <v>15</v>
      </c>
      <c r="M2" s="10" t="s">
        <v>16</v>
      </c>
      <c r="N2" s="13" t="s">
        <v>17</v>
      </c>
      <c r="O2" s="14" t="s">
        <v>13</v>
      </c>
      <c r="P2" s="15" t="s">
        <v>18</v>
      </c>
      <c r="Q2" s="15" t="s">
        <v>118</v>
      </c>
      <c r="R2" s="15" t="s">
        <v>123</v>
      </c>
      <c r="S2" s="15" t="s">
        <v>122</v>
      </c>
      <c r="T2" s="15" t="s">
        <v>119</v>
      </c>
      <c r="U2" s="15" t="s">
        <v>124</v>
      </c>
      <c r="V2" s="15" t="s">
        <v>125</v>
      </c>
    </row>
    <row r="3" spans="1:14" ht="19.5" customHeight="1" thickBot="1" thickTop="1">
      <c r="A3" s="16"/>
      <c r="B3" s="17" t="s">
        <v>19</v>
      </c>
      <c r="C3" s="18">
        <v>0.32430555555555557</v>
      </c>
      <c r="D3" s="19">
        <v>60</v>
      </c>
      <c r="E3" s="19">
        <v>5</v>
      </c>
      <c r="F3" s="19">
        <v>12</v>
      </c>
      <c r="G3" s="19">
        <v>98</v>
      </c>
      <c r="H3" s="19">
        <v>277</v>
      </c>
      <c r="I3" s="20"/>
      <c r="J3" s="20"/>
      <c r="K3" s="21">
        <v>0</v>
      </c>
      <c r="L3" s="22" t="s">
        <v>20</v>
      </c>
      <c r="M3" s="22" t="s">
        <v>20</v>
      </c>
      <c r="N3" s="23"/>
    </row>
    <row r="4" spans="1:16" ht="19.5" customHeight="1" thickTop="1">
      <c r="A4" s="255" t="s">
        <v>21</v>
      </c>
      <c r="B4" s="24" t="s">
        <v>22</v>
      </c>
      <c r="C4" s="25">
        <v>0.3611111111111111</v>
      </c>
      <c r="D4" s="26">
        <v>56</v>
      </c>
      <c r="E4" s="26">
        <v>5</v>
      </c>
      <c r="F4" s="26">
        <v>7</v>
      </c>
      <c r="G4" s="26">
        <v>47</v>
      </c>
      <c r="H4" s="26">
        <v>169</v>
      </c>
      <c r="I4" s="27"/>
      <c r="J4" s="27"/>
      <c r="K4" s="26">
        <v>34.1</v>
      </c>
      <c r="L4" s="26">
        <v>4.2</v>
      </c>
      <c r="M4" s="26">
        <v>4.3</v>
      </c>
      <c r="N4" s="28" t="s">
        <v>23</v>
      </c>
      <c r="O4" s="29">
        <f>(H3-H4)*0.08</f>
        <v>8.64</v>
      </c>
      <c r="P4" s="30">
        <f>O4/(K4-K3)*1000</f>
        <v>253.37243401759528</v>
      </c>
    </row>
    <row r="5" spans="1:14" ht="19.5" customHeight="1">
      <c r="A5" s="253"/>
      <c r="B5" s="31" t="s">
        <v>24</v>
      </c>
      <c r="C5" s="32">
        <v>0.3847222222222222</v>
      </c>
      <c r="D5" s="33">
        <v>56</v>
      </c>
      <c r="E5" s="33">
        <v>5</v>
      </c>
      <c r="F5" s="33">
        <v>6</v>
      </c>
      <c r="G5" s="33">
        <v>45</v>
      </c>
      <c r="H5" s="33">
        <v>166</v>
      </c>
      <c r="I5" s="33">
        <v>61</v>
      </c>
      <c r="J5" s="34"/>
      <c r="K5" s="34"/>
      <c r="L5" s="34"/>
      <c r="M5" s="34"/>
      <c r="N5" s="35" t="s">
        <v>25</v>
      </c>
    </row>
    <row r="6" spans="1:22" ht="19.5" customHeight="1">
      <c r="A6" s="253"/>
      <c r="B6" s="31" t="s">
        <v>26</v>
      </c>
      <c r="C6" s="32">
        <v>0.4076388888888889</v>
      </c>
      <c r="D6" s="33">
        <v>56</v>
      </c>
      <c r="E6" s="33">
        <v>6</v>
      </c>
      <c r="F6" s="33">
        <v>11</v>
      </c>
      <c r="G6" s="33">
        <v>73</v>
      </c>
      <c r="H6" s="33">
        <v>245</v>
      </c>
      <c r="I6" s="33"/>
      <c r="J6" s="116"/>
      <c r="K6" s="34"/>
      <c r="L6" s="34"/>
      <c r="M6" s="34"/>
      <c r="N6" s="35" t="s">
        <v>41</v>
      </c>
      <c r="Q6">
        <f>(H6-H5)*0.08</f>
        <v>6.32</v>
      </c>
      <c r="R6" s="115">
        <f>H5/281*100</f>
        <v>59.07473309608541</v>
      </c>
      <c r="S6" s="115">
        <f>H6/281*100</f>
        <v>87.18861209964413</v>
      </c>
      <c r="T6" s="114">
        <f>(C6-C5)*24*60</f>
        <v>33.00000000000004</v>
      </c>
      <c r="U6" s="30">
        <f>Q6/T6*1000</f>
        <v>191.51515151515127</v>
      </c>
      <c r="V6" s="115"/>
    </row>
    <row r="7" spans="1:14" ht="19.5" customHeight="1" thickBot="1">
      <c r="A7" s="254"/>
      <c r="B7" s="36" t="s">
        <v>27</v>
      </c>
      <c r="C7" s="37">
        <v>0.40972222222222227</v>
      </c>
      <c r="D7" s="38">
        <v>56</v>
      </c>
      <c r="E7" s="38">
        <v>6</v>
      </c>
      <c r="F7" s="38">
        <v>11</v>
      </c>
      <c r="G7" s="38">
        <v>73</v>
      </c>
      <c r="H7" s="38">
        <v>245</v>
      </c>
      <c r="I7" s="39"/>
      <c r="J7" s="39"/>
      <c r="K7" s="40">
        <v>0</v>
      </c>
      <c r="L7" s="40" t="s">
        <v>20</v>
      </c>
      <c r="M7" s="40" t="s">
        <v>20</v>
      </c>
      <c r="N7" s="41"/>
    </row>
    <row r="8" spans="1:16" ht="19.5" customHeight="1" thickTop="1">
      <c r="A8" s="255" t="s">
        <v>28</v>
      </c>
      <c r="B8" s="24" t="s">
        <v>22</v>
      </c>
      <c r="C8" s="25">
        <v>0.4381944444444445</v>
      </c>
      <c r="D8" s="26">
        <v>59</v>
      </c>
      <c r="E8" s="26">
        <v>6</v>
      </c>
      <c r="F8" s="26">
        <v>6</v>
      </c>
      <c r="G8" s="26">
        <v>39</v>
      </c>
      <c r="H8" s="26">
        <v>155</v>
      </c>
      <c r="I8" s="27"/>
      <c r="J8" s="27"/>
      <c r="K8" s="26">
        <v>26.4</v>
      </c>
      <c r="L8" s="26">
        <v>3.6</v>
      </c>
      <c r="M8" s="26">
        <v>3.7</v>
      </c>
      <c r="N8" s="42" t="s">
        <v>29</v>
      </c>
      <c r="O8" s="29">
        <f>(H7-H8)*0.08</f>
        <v>7.2</v>
      </c>
      <c r="P8" s="30">
        <f>O8/(K8-K7)*1000</f>
        <v>272.72727272727275</v>
      </c>
    </row>
    <row r="9" spans="1:14" ht="19.5" customHeight="1">
      <c r="A9" s="253"/>
      <c r="B9" s="31" t="s">
        <v>24</v>
      </c>
      <c r="C9" s="32">
        <v>0.44027777777777777</v>
      </c>
      <c r="D9" s="33">
        <v>59</v>
      </c>
      <c r="E9" s="33">
        <v>5</v>
      </c>
      <c r="F9" s="33">
        <v>6</v>
      </c>
      <c r="G9" s="33">
        <v>41</v>
      </c>
      <c r="H9" s="33">
        <v>159</v>
      </c>
      <c r="I9" s="33">
        <v>57</v>
      </c>
      <c r="J9" s="34"/>
      <c r="K9" s="34"/>
      <c r="L9" s="34"/>
      <c r="M9" s="34"/>
      <c r="N9" s="35"/>
    </row>
    <row r="10" spans="1:22" ht="19.5" customHeight="1">
      <c r="A10" s="253"/>
      <c r="B10" s="31" t="s">
        <v>26</v>
      </c>
      <c r="C10" s="32">
        <v>0.4666666666666666</v>
      </c>
      <c r="D10" s="33">
        <v>59</v>
      </c>
      <c r="E10" s="33">
        <v>6</v>
      </c>
      <c r="F10" s="33">
        <v>11</v>
      </c>
      <c r="G10" s="33">
        <v>72</v>
      </c>
      <c r="H10" s="33">
        <v>250</v>
      </c>
      <c r="I10" s="33">
        <v>98</v>
      </c>
      <c r="J10" s="33">
        <v>8.247</v>
      </c>
      <c r="K10" s="34"/>
      <c r="L10" s="34"/>
      <c r="M10" s="34"/>
      <c r="N10" s="35" t="s">
        <v>41</v>
      </c>
      <c r="Q10">
        <f>(H10-H9)*0.08</f>
        <v>7.28</v>
      </c>
      <c r="R10" s="115">
        <f>H9/281*100</f>
        <v>56.58362989323843</v>
      </c>
      <c r="S10" s="115">
        <f>H10/281*100</f>
        <v>88.96797153024912</v>
      </c>
      <c r="T10" s="114">
        <f>(C10-C9)*24*60</f>
        <v>37.99999999999994</v>
      </c>
      <c r="U10" s="30">
        <f>Q10/T10*1000</f>
        <v>191.57894736842135</v>
      </c>
      <c r="V10" s="115">
        <f>(J10/Q10-1)*100</f>
        <v>13.28296703296703</v>
      </c>
    </row>
    <row r="11" spans="1:14" ht="19.5" customHeight="1" thickBot="1">
      <c r="A11" s="254"/>
      <c r="B11" s="36" t="s">
        <v>27</v>
      </c>
      <c r="C11" s="37">
        <v>0.47152777777777777</v>
      </c>
      <c r="D11" s="38">
        <v>59</v>
      </c>
      <c r="E11" s="38">
        <v>6</v>
      </c>
      <c r="F11" s="38">
        <v>11</v>
      </c>
      <c r="G11" s="38">
        <v>70</v>
      </c>
      <c r="H11" s="38">
        <v>249</v>
      </c>
      <c r="I11" s="39"/>
      <c r="J11" s="39"/>
      <c r="K11" s="40">
        <v>0</v>
      </c>
      <c r="L11" s="40" t="s">
        <v>20</v>
      </c>
      <c r="M11" s="40" t="s">
        <v>20</v>
      </c>
      <c r="N11" s="41"/>
    </row>
    <row r="12" spans="1:16" ht="19.5" customHeight="1" thickTop="1">
      <c r="A12" s="255" t="s">
        <v>30</v>
      </c>
      <c r="B12" s="24" t="s">
        <v>22</v>
      </c>
      <c r="C12" s="25">
        <v>0.5125</v>
      </c>
      <c r="D12" s="26">
        <v>71</v>
      </c>
      <c r="E12" s="26">
        <v>6</v>
      </c>
      <c r="F12" s="26">
        <v>3</v>
      </c>
      <c r="G12" s="26">
        <v>29</v>
      </c>
      <c r="H12" s="26">
        <v>89</v>
      </c>
      <c r="I12" s="27"/>
      <c r="J12" s="27"/>
      <c r="K12" s="26">
        <v>50.9</v>
      </c>
      <c r="L12" s="26">
        <v>3.9</v>
      </c>
      <c r="M12" s="26">
        <v>4</v>
      </c>
      <c r="N12" s="42" t="s">
        <v>31</v>
      </c>
      <c r="O12" s="29">
        <f>(H11-H12)*0.08</f>
        <v>12.8</v>
      </c>
      <c r="P12" s="30">
        <f>O12/(K12-K11)*1000</f>
        <v>251.4734774066798</v>
      </c>
    </row>
    <row r="13" spans="1:14" ht="19.5" customHeight="1">
      <c r="A13" s="253"/>
      <c r="B13" s="31" t="s">
        <v>24</v>
      </c>
      <c r="C13" s="32">
        <v>0.5222222222222223</v>
      </c>
      <c r="D13" s="33">
        <v>71</v>
      </c>
      <c r="E13" s="33">
        <v>6</v>
      </c>
      <c r="F13" s="33">
        <v>3</v>
      </c>
      <c r="G13" s="33">
        <v>31</v>
      </c>
      <c r="H13" s="33">
        <v>94</v>
      </c>
      <c r="I13" s="33">
        <v>35</v>
      </c>
      <c r="J13" s="34"/>
      <c r="K13" s="34"/>
      <c r="L13" s="34"/>
      <c r="M13" s="34"/>
      <c r="N13" s="35"/>
    </row>
    <row r="14" spans="1:22" ht="19.5" customHeight="1">
      <c r="A14" s="253"/>
      <c r="B14" s="31" t="s">
        <v>26</v>
      </c>
      <c r="C14" s="32">
        <v>0.5388888888888889</v>
      </c>
      <c r="D14" s="33">
        <v>71</v>
      </c>
      <c r="E14" s="33">
        <v>6</v>
      </c>
      <c r="F14" s="33">
        <v>9</v>
      </c>
      <c r="G14" s="33">
        <v>103</v>
      </c>
      <c r="H14" s="33">
        <v>225</v>
      </c>
      <c r="I14" s="33">
        <v>89</v>
      </c>
      <c r="J14" s="33">
        <v>11.88</v>
      </c>
      <c r="K14" s="34"/>
      <c r="L14" s="34"/>
      <c r="M14" s="34"/>
      <c r="N14" s="35" t="s">
        <v>127</v>
      </c>
      <c r="Q14">
        <f>(H14-H13)*0.08</f>
        <v>10.48</v>
      </c>
      <c r="R14" s="115">
        <f>H13/281*100</f>
        <v>33.45195729537366</v>
      </c>
      <c r="S14" s="115">
        <f>H14/281*100</f>
        <v>80.0711743772242</v>
      </c>
      <c r="T14" s="114">
        <f>(C14-C13)*24*60</f>
        <v>23.999999999999915</v>
      </c>
      <c r="U14" s="30">
        <f>Q14/T14*1000</f>
        <v>436.6666666666683</v>
      </c>
      <c r="V14" s="115">
        <f>(J14/Q14-1)*100</f>
        <v>13.358778625954205</v>
      </c>
    </row>
    <row r="15" spans="1:14" ht="19.5" customHeight="1" thickBot="1">
      <c r="A15" s="254"/>
      <c r="B15" s="36" t="s">
        <v>27</v>
      </c>
      <c r="C15" s="37">
        <v>0.5944444444444444</v>
      </c>
      <c r="D15" s="38">
        <v>71</v>
      </c>
      <c r="E15" s="38">
        <v>6</v>
      </c>
      <c r="F15" s="38">
        <v>9</v>
      </c>
      <c r="G15" s="38">
        <v>101</v>
      </c>
      <c r="H15" s="38">
        <v>224</v>
      </c>
      <c r="I15" s="39"/>
      <c r="J15" s="39"/>
      <c r="K15" s="40">
        <v>0</v>
      </c>
      <c r="L15" s="40" t="s">
        <v>20</v>
      </c>
      <c r="M15" s="40" t="s">
        <v>20</v>
      </c>
      <c r="N15" s="41" t="s">
        <v>32</v>
      </c>
    </row>
    <row r="16" spans="1:16" ht="19.5" customHeight="1" thickTop="1">
      <c r="A16" s="252" t="s">
        <v>33</v>
      </c>
      <c r="B16" s="24" t="s">
        <v>22</v>
      </c>
      <c r="C16" s="25">
        <v>0.6166666666666667</v>
      </c>
      <c r="D16" s="26">
        <v>84</v>
      </c>
      <c r="E16" s="26">
        <v>6</v>
      </c>
      <c r="F16" s="26">
        <v>8</v>
      </c>
      <c r="G16" s="26">
        <v>67</v>
      </c>
      <c r="H16" s="26">
        <v>193</v>
      </c>
      <c r="I16" s="27"/>
      <c r="J16" s="27"/>
      <c r="K16" s="26">
        <v>20.5</v>
      </c>
      <c r="L16" s="26">
        <v>5.2</v>
      </c>
      <c r="M16" s="26">
        <v>5.4</v>
      </c>
      <c r="N16" s="42" t="s">
        <v>34</v>
      </c>
      <c r="O16" s="29">
        <f>(H15-H16)*0.08</f>
        <v>2.48</v>
      </c>
      <c r="P16" s="30">
        <f>O16/(K16-K15)*1000</f>
        <v>120.97560975609755</v>
      </c>
    </row>
    <row r="17" spans="1:14" ht="19.5" customHeight="1">
      <c r="A17" s="253"/>
      <c r="B17" s="31" t="s">
        <v>35</v>
      </c>
      <c r="C17" s="33"/>
      <c r="D17" s="33"/>
      <c r="E17" s="33"/>
      <c r="F17" s="33"/>
      <c r="G17" s="33"/>
      <c r="H17" s="33"/>
      <c r="I17" s="34"/>
      <c r="J17" s="34"/>
      <c r="K17" s="34"/>
      <c r="L17" s="34"/>
      <c r="M17" s="34"/>
      <c r="N17" s="35"/>
    </row>
    <row r="18" spans="1:14" ht="19.5" customHeight="1">
      <c r="A18" s="253"/>
      <c r="B18" s="31" t="s">
        <v>36</v>
      </c>
      <c r="C18" s="33"/>
      <c r="D18" s="33"/>
      <c r="E18" s="33"/>
      <c r="F18" s="33"/>
      <c r="G18" s="33"/>
      <c r="H18" s="33"/>
      <c r="I18" s="34"/>
      <c r="J18" s="43"/>
      <c r="K18" s="34"/>
      <c r="L18" s="34"/>
      <c r="M18" s="34"/>
      <c r="N18" s="35"/>
    </row>
    <row r="19" spans="1:14" ht="19.5" customHeight="1" thickBot="1">
      <c r="A19" s="254"/>
      <c r="B19" s="36" t="s">
        <v>27</v>
      </c>
      <c r="C19" s="37">
        <v>0.6361111111111112</v>
      </c>
      <c r="D19" s="38">
        <v>84</v>
      </c>
      <c r="E19" s="38">
        <v>6</v>
      </c>
      <c r="F19" s="38">
        <v>8</v>
      </c>
      <c r="G19" s="38">
        <v>65</v>
      </c>
      <c r="H19" s="38">
        <v>191</v>
      </c>
      <c r="I19" s="39"/>
      <c r="J19" s="39"/>
      <c r="K19" s="40">
        <v>20.5</v>
      </c>
      <c r="L19" s="40">
        <v>5.2</v>
      </c>
      <c r="M19" s="40">
        <v>5.4</v>
      </c>
      <c r="N19" s="41"/>
    </row>
    <row r="20" spans="1:14" ht="13.5" thickTop="1">
      <c r="A20" s="1"/>
      <c r="B20" s="2"/>
      <c r="C20" s="3"/>
      <c r="D20" s="4" t="s">
        <v>0</v>
      </c>
      <c r="E20" s="5" t="s">
        <v>1</v>
      </c>
      <c r="F20" s="5" t="s">
        <v>2</v>
      </c>
      <c r="G20" s="5"/>
      <c r="H20" s="3"/>
      <c r="I20" s="257" t="s">
        <v>3</v>
      </c>
      <c r="J20" s="258"/>
      <c r="K20" s="3" t="s">
        <v>4</v>
      </c>
      <c r="L20" s="256" t="s">
        <v>5</v>
      </c>
      <c r="M20" s="256"/>
      <c r="N20" s="44" t="s">
        <v>6</v>
      </c>
    </row>
    <row r="21" spans="1:14" ht="13.5" thickBot="1">
      <c r="A21" s="7"/>
      <c r="B21" s="8" t="s">
        <v>7</v>
      </c>
      <c r="C21" s="9" t="s">
        <v>8</v>
      </c>
      <c r="D21" s="10" t="s">
        <v>9</v>
      </c>
      <c r="E21" s="10" t="s">
        <v>10</v>
      </c>
      <c r="F21" s="10" t="s">
        <v>10</v>
      </c>
      <c r="G21" s="10" t="s">
        <v>11</v>
      </c>
      <c r="H21" s="9" t="s">
        <v>12</v>
      </c>
      <c r="I21" s="11" t="s">
        <v>2</v>
      </c>
      <c r="J21" s="11" t="s">
        <v>13</v>
      </c>
      <c r="K21" s="12" t="s">
        <v>14</v>
      </c>
      <c r="L21" s="10" t="s">
        <v>15</v>
      </c>
      <c r="M21" s="10" t="s">
        <v>16</v>
      </c>
      <c r="N21" s="13" t="s">
        <v>17</v>
      </c>
    </row>
    <row r="22" spans="1:16" ht="19.5" customHeight="1" thickTop="1">
      <c r="A22" s="252" t="s">
        <v>37</v>
      </c>
      <c r="B22" s="24" t="s">
        <v>22</v>
      </c>
      <c r="C22" s="25">
        <v>0.6430555555555556</v>
      </c>
      <c r="D22" s="26">
        <v>84</v>
      </c>
      <c r="E22" s="26">
        <v>7</v>
      </c>
      <c r="F22" s="26">
        <v>8</v>
      </c>
      <c r="G22" s="26">
        <v>62</v>
      </c>
      <c r="H22" s="26">
        <v>183</v>
      </c>
      <c r="I22" s="27"/>
      <c r="J22" s="27"/>
      <c r="K22" s="26">
        <v>22.3</v>
      </c>
      <c r="L22" s="26">
        <v>5.2</v>
      </c>
      <c r="M22" s="26">
        <v>5.4</v>
      </c>
      <c r="N22" s="42" t="s">
        <v>38</v>
      </c>
      <c r="O22" s="29">
        <f>(H15-H22)*0.08</f>
        <v>3.2800000000000002</v>
      </c>
      <c r="P22" s="30">
        <f>O22/(K22-K15)*1000</f>
        <v>147.08520179372198</v>
      </c>
    </row>
    <row r="23" spans="1:14" ht="19.5" customHeight="1">
      <c r="A23" s="253"/>
      <c r="B23" s="31" t="s">
        <v>35</v>
      </c>
      <c r="C23" s="32">
        <v>0.6444444444444445</v>
      </c>
      <c r="D23" s="33">
        <v>84</v>
      </c>
      <c r="E23" s="33">
        <v>6</v>
      </c>
      <c r="F23" s="33">
        <v>7</v>
      </c>
      <c r="G23" s="33">
        <v>64</v>
      </c>
      <c r="H23" s="33">
        <v>182</v>
      </c>
      <c r="I23" s="33">
        <v>65</v>
      </c>
      <c r="J23" s="34"/>
      <c r="K23" s="34"/>
      <c r="L23" s="34"/>
      <c r="M23" s="34"/>
      <c r="N23" s="35"/>
    </row>
    <row r="24" spans="1:22" ht="19.5" customHeight="1">
      <c r="A24" s="253"/>
      <c r="B24" s="31" t="s">
        <v>36</v>
      </c>
      <c r="C24" s="32">
        <v>0.6763888888888889</v>
      </c>
      <c r="D24" s="33">
        <v>84</v>
      </c>
      <c r="E24" s="33">
        <v>7</v>
      </c>
      <c r="F24" s="33">
        <v>12</v>
      </c>
      <c r="G24" s="33">
        <v>98</v>
      </c>
      <c r="H24" s="33">
        <v>263</v>
      </c>
      <c r="I24" s="33">
        <v>98</v>
      </c>
      <c r="J24" s="33">
        <v>7.427</v>
      </c>
      <c r="K24" s="34"/>
      <c r="L24" s="34"/>
      <c r="M24" s="34"/>
      <c r="N24" s="35" t="s">
        <v>126</v>
      </c>
      <c r="Q24">
        <f>(H24-H23)*0.08</f>
        <v>6.48</v>
      </c>
      <c r="R24" s="115">
        <f>H23/281*100</f>
        <v>64.76868327402136</v>
      </c>
      <c r="S24" s="115">
        <f>H24/281*100</f>
        <v>93.59430604982207</v>
      </c>
      <c r="T24" s="114">
        <f>(C24-C23)*24*60</f>
        <v>46</v>
      </c>
      <c r="U24" s="30">
        <f>Q24/T24*1000</f>
        <v>140.8695652173913</v>
      </c>
      <c r="V24" s="115">
        <f>(J24/Q24-1)*100</f>
        <v>14.614197530864192</v>
      </c>
    </row>
    <row r="25" spans="1:14" ht="19.5" customHeight="1" thickBot="1">
      <c r="A25" s="254"/>
      <c r="B25" s="36" t="s">
        <v>27</v>
      </c>
      <c r="C25" s="37">
        <v>0.7131944444444445</v>
      </c>
      <c r="D25" s="38">
        <v>84</v>
      </c>
      <c r="E25" s="38">
        <v>7</v>
      </c>
      <c r="F25" s="38">
        <v>12</v>
      </c>
      <c r="G25" s="38">
        <v>97</v>
      </c>
      <c r="H25" s="38">
        <v>263</v>
      </c>
      <c r="I25" s="39"/>
      <c r="J25" s="39"/>
      <c r="K25" s="40">
        <v>0</v>
      </c>
      <c r="L25" s="40" t="s">
        <v>20</v>
      </c>
      <c r="M25" s="40" t="s">
        <v>20</v>
      </c>
      <c r="N25" s="41"/>
    </row>
    <row r="26" spans="1:16" ht="19.5" customHeight="1" thickTop="1">
      <c r="A26" s="255" t="s">
        <v>30</v>
      </c>
      <c r="B26" s="24" t="s">
        <v>22</v>
      </c>
      <c r="C26" s="25">
        <v>0.7388888888888889</v>
      </c>
      <c r="D26" s="26">
        <v>78</v>
      </c>
      <c r="E26" s="26">
        <v>7</v>
      </c>
      <c r="F26" s="26">
        <v>8</v>
      </c>
      <c r="G26" s="26">
        <v>54</v>
      </c>
      <c r="H26" s="26">
        <v>190</v>
      </c>
      <c r="I26" s="27"/>
      <c r="J26" s="27"/>
      <c r="K26" s="26">
        <v>22.2</v>
      </c>
      <c r="L26" s="26">
        <v>3.6</v>
      </c>
      <c r="M26" s="26">
        <v>3.7</v>
      </c>
      <c r="N26" s="42" t="s">
        <v>39</v>
      </c>
      <c r="O26" s="29">
        <f>(H25-H26)*0.08</f>
        <v>5.84</v>
      </c>
      <c r="P26" s="30">
        <f>O26/(K26-K25)*1000</f>
        <v>263.06306306306305</v>
      </c>
    </row>
    <row r="27" spans="1:14" ht="19.5" customHeight="1">
      <c r="A27" s="253"/>
      <c r="B27" s="31" t="s">
        <v>24</v>
      </c>
      <c r="C27" s="32">
        <v>0.7409722222222223</v>
      </c>
      <c r="D27" s="33">
        <v>77</v>
      </c>
      <c r="E27" s="33">
        <v>7</v>
      </c>
      <c r="F27" s="33">
        <v>8</v>
      </c>
      <c r="G27" s="33">
        <v>55</v>
      </c>
      <c r="H27" s="33">
        <v>195</v>
      </c>
      <c r="I27" s="33">
        <v>69</v>
      </c>
      <c r="J27" s="34"/>
      <c r="K27" s="34"/>
      <c r="L27" s="34"/>
      <c r="M27" s="34"/>
      <c r="N27" s="35" t="s">
        <v>40</v>
      </c>
    </row>
    <row r="28" spans="1:22" ht="19.5" customHeight="1">
      <c r="A28" s="253"/>
      <c r="B28" s="31" t="s">
        <v>26</v>
      </c>
      <c r="C28" s="32">
        <v>0.7569444444444445</v>
      </c>
      <c r="D28" s="33">
        <v>77</v>
      </c>
      <c r="E28" s="33">
        <v>7</v>
      </c>
      <c r="F28" s="33">
        <v>11</v>
      </c>
      <c r="G28" s="33">
        <v>77</v>
      </c>
      <c r="H28" s="33">
        <v>255</v>
      </c>
      <c r="I28" s="33">
        <v>98</v>
      </c>
      <c r="J28" s="33">
        <v>5.682</v>
      </c>
      <c r="K28" s="34"/>
      <c r="L28" s="34"/>
      <c r="M28" s="34"/>
      <c r="N28" s="35" t="s">
        <v>41</v>
      </c>
      <c r="Q28">
        <f>(H28-H27)*0.08</f>
        <v>4.8</v>
      </c>
      <c r="R28" s="115">
        <f>H27/281*100</f>
        <v>69.3950177935943</v>
      </c>
      <c r="S28" s="115">
        <f>H28/281*100</f>
        <v>90.74733096085409</v>
      </c>
      <c r="T28" s="114">
        <f>(C28-C27)*24*60</f>
        <v>23.000000000000078</v>
      </c>
      <c r="U28" s="30">
        <f>Q28/T28*1000</f>
        <v>208.69565217391235</v>
      </c>
      <c r="V28" s="115">
        <f>(J28/Q28-1)*100</f>
        <v>18.375000000000007</v>
      </c>
    </row>
    <row r="29" spans="1:14" ht="19.5" customHeight="1" thickBot="1">
      <c r="A29" s="254"/>
      <c r="B29" s="36" t="s">
        <v>27</v>
      </c>
      <c r="C29" s="37">
        <v>0.7618055555555556</v>
      </c>
      <c r="D29" s="38">
        <v>77</v>
      </c>
      <c r="E29" s="38">
        <v>7</v>
      </c>
      <c r="F29" s="38">
        <v>11</v>
      </c>
      <c r="G29" s="38">
        <v>77</v>
      </c>
      <c r="H29" s="38">
        <v>255</v>
      </c>
      <c r="I29" s="39"/>
      <c r="J29" s="39"/>
      <c r="K29" s="40">
        <v>0</v>
      </c>
      <c r="L29" s="40" t="s">
        <v>20</v>
      </c>
      <c r="M29" s="40" t="s">
        <v>20</v>
      </c>
      <c r="N29" s="41"/>
    </row>
    <row r="30" spans="1:16" ht="19.5" customHeight="1" thickTop="1">
      <c r="A30" s="255" t="s">
        <v>28</v>
      </c>
      <c r="B30" s="24" t="s">
        <v>22</v>
      </c>
      <c r="C30" s="25">
        <v>0.8034722222222223</v>
      </c>
      <c r="D30" s="26">
        <v>58</v>
      </c>
      <c r="E30" s="26">
        <v>7</v>
      </c>
      <c r="F30" s="26">
        <v>3</v>
      </c>
      <c r="G30" s="26">
        <v>24</v>
      </c>
      <c r="H30" s="26">
        <v>85</v>
      </c>
      <c r="I30" s="27"/>
      <c r="J30" s="27"/>
      <c r="K30" s="26">
        <v>50.9</v>
      </c>
      <c r="L30" s="26"/>
      <c r="M30" s="26">
        <v>3.8</v>
      </c>
      <c r="N30" s="42" t="s">
        <v>42</v>
      </c>
      <c r="O30" s="29">
        <f>(H29-H30)*0.08</f>
        <v>13.6</v>
      </c>
      <c r="P30" s="30">
        <f>O30/(K30-K29)*1000</f>
        <v>267.19056974459727</v>
      </c>
    </row>
    <row r="31" spans="1:14" ht="19.5" customHeight="1">
      <c r="A31" s="253"/>
      <c r="B31" s="31" t="s">
        <v>24</v>
      </c>
      <c r="C31" s="32">
        <v>0.8055555555555555</v>
      </c>
      <c r="D31" s="33">
        <v>58</v>
      </c>
      <c r="E31" s="33">
        <v>6</v>
      </c>
      <c r="F31" s="33">
        <v>2</v>
      </c>
      <c r="G31" s="33">
        <v>27</v>
      </c>
      <c r="H31" s="33">
        <v>92</v>
      </c>
      <c r="I31" s="33">
        <v>34</v>
      </c>
      <c r="J31" s="34"/>
      <c r="K31" s="34"/>
      <c r="L31" s="34"/>
      <c r="M31" s="34"/>
      <c r="N31" s="35"/>
    </row>
    <row r="32" spans="1:22" ht="19.5" customHeight="1">
      <c r="A32" s="253"/>
      <c r="B32" s="31" t="s">
        <v>26</v>
      </c>
      <c r="C32" s="32">
        <v>0.8201388888888889</v>
      </c>
      <c r="D32" s="33">
        <v>58</v>
      </c>
      <c r="E32" s="33">
        <v>7</v>
      </c>
      <c r="F32" s="33">
        <v>10</v>
      </c>
      <c r="G32" s="33">
        <v>95</v>
      </c>
      <c r="H32" s="33">
        <v>232</v>
      </c>
      <c r="I32" s="33">
        <v>89</v>
      </c>
      <c r="J32" s="33">
        <v>12.57</v>
      </c>
      <c r="K32" s="34"/>
      <c r="L32" s="34"/>
      <c r="M32" s="34"/>
      <c r="N32" s="35" t="s">
        <v>127</v>
      </c>
      <c r="Q32">
        <f>(H32-H31)*0.08</f>
        <v>11.200000000000001</v>
      </c>
      <c r="R32" s="115">
        <f>H31/281*100</f>
        <v>32.74021352313167</v>
      </c>
      <c r="S32" s="115">
        <f>H32/281*100</f>
        <v>82.56227758007117</v>
      </c>
      <c r="T32" s="114">
        <f>(C32-C31)*24*60</f>
        <v>21.000000000000085</v>
      </c>
      <c r="U32" s="30">
        <f>Q32/T32*1000</f>
        <v>533.3333333333312</v>
      </c>
      <c r="V32" s="115">
        <f>(J32/Q32-1)*100</f>
        <v>12.232142857142847</v>
      </c>
    </row>
    <row r="33" spans="1:14" ht="19.5" customHeight="1" thickBot="1">
      <c r="A33" s="254"/>
      <c r="B33" s="36" t="s">
        <v>27</v>
      </c>
      <c r="C33" s="37">
        <v>0.825</v>
      </c>
      <c r="D33" s="38">
        <v>58</v>
      </c>
      <c r="E33" s="38">
        <v>7</v>
      </c>
      <c r="F33" s="38">
        <v>10</v>
      </c>
      <c r="G33" s="38">
        <v>95</v>
      </c>
      <c r="H33" s="38">
        <v>232</v>
      </c>
      <c r="I33" s="39"/>
      <c r="J33" s="39"/>
      <c r="K33" s="40">
        <v>0</v>
      </c>
      <c r="L33" s="40" t="s">
        <v>20</v>
      </c>
      <c r="M33" s="40" t="s">
        <v>20</v>
      </c>
      <c r="N33" s="41"/>
    </row>
    <row r="34" spans="1:16" ht="19.5" customHeight="1" thickTop="1">
      <c r="A34" s="255" t="s">
        <v>21</v>
      </c>
      <c r="B34" s="24" t="s">
        <v>22</v>
      </c>
      <c r="C34" s="26"/>
      <c r="D34" s="26"/>
      <c r="E34" s="26"/>
      <c r="F34" s="26"/>
      <c r="G34" s="26"/>
      <c r="H34">
        <v>165</v>
      </c>
      <c r="I34" s="27"/>
      <c r="J34" s="27"/>
      <c r="K34" s="26">
        <v>26.2</v>
      </c>
      <c r="L34" s="26"/>
      <c r="M34" s="26"/>
      <c r="N34" s="42" t="s">
        <v>43</v>
      </c>
      <c r="O34" s="29">
        <f>(H33-H34)*0.08</f>
        <v>5.36</v>
      </c>
      <c r="P34" s="30">
        <f>O34/(K34-K33)*1000</f>
        <v>204.58015267175574</v>
      </c>
    </row>
    <row r="35" spans="1:14" ht="19.5" customHeight="1">
      <c r="A35" s="253"/>
      <c r="B35" s="31" t="s">
        <v>24</v>
      </c>
      <c r="C35" s="33"/>
      <c r="D35" s="33"/>
      <c r="E35" s="33"/>
      <c r="F35" s="33"/>
      <c r="G35" s="33"/>
      <c r="H35" s="33"/>
      <c r="I35" s="33"/>
      <c r="J35" s="34"/>
      <c r="K35" s="34"/>
      <c r="L35" s="34"/>
      <c r="M35" s="34"/>
      <c r="N35" s="35"/>
    </row>
    <row r="36" spans="1:14" ht="19.5" customHeight="1">
      <c r="A36" s="253"/>
      <c r="B36" s="31" t="s">
        <v>26</v>
      </c>
      <c r="C36" s="33"/>
      <c r="D36" s="33"/>
      <c r="E36" s="33"/>
      <c r="F36" s="33"/>
      <c r="G36" s="33"/>
      <c r="H36" s="33"/>
      <c r="I36" s="33"/>
      <c r="J36" s="33"/>
      <c r="K36" s="34"/>
      <c r="L36" s="34"/>
      <c r="M36" s="34"/>
      <c r="N36" s="35"/>
    </row>
    <row r="37" spans="1:14" ht="19.5" customHeight="1" thickBot="1">
      <c r="A37" s="254"/>
      <c r="B37" s="36" t="s">
        <v>27</v>
      </c>
      <c r="C37" s="38"/>
      <c r="D37" s="38"/>
      <c r="E37" s="38"/>
      <c r="F37" s="38"/>
      <c r="G37" s="38"/>
      <c r="H37" s="38">
        <v>165</v>
      </c>
      <c r="I37" s="39"/>
      <c r="J37" s="39"/>
      <c r="K37" s="40">
        <v>26.2</v>
      </c>
      <c r="L37" s="40" t="s">
        <v>20</v>
      </c>
      <c r="M37" s="40" t="s">
        <v>20</v>
      </c>
      <c r="N37" s="41"/>
    </row>
    <row r="38" spans="1:16" ht="19.5" customHeight="1" thickBot="1" thickTop="1">
      <c r="A38" s="45"/>
      <c r="B38" s="17" t="s">
        <v>19</v>
      </c>
      <c r="C38" s="18">
        <v>0.8861111111111111</v>
      </c>
      <c r="D38" s="19">
        <v>63</v>
      </c>
      <c r="E38" s="19">
        <v>7</v>
      </c>
      <c r="F38" s="19">
        <v>2</v>
      </c>
      <c r="G38" s="19">
        <v>16</v>
      </c>
      <c r="H38" s="19">
        <v>71</v>
      </c>
      <c r="I38" s="20"/>
      <c r="J38" s="20"/>
      <c r="K38" s="21">
        <v>58.9</v>
      </c>
      <c r="L38" s="21">
        <v>4.6</v>
      </c>
      <c r="M38" s="21">
        <v>4.7</v>
      </c>
      <c r="N38" s="23" t="s">
        <v>44</v>
      </c>
      <c r="O38" s="29">
        <f>(H37-H38)*0.08</f>
        <v>7.5200000000000005</v>
      </c>
      <c r="P38" s="30">
        <f>O38/(K38-K37)*1000</f>
        <v>229.96941896024464</v>
      </c>
    </row>
    <row r="39" spans="15:17" ht="13.5" thickTop="1">
      <c r="O39" s="29">
        <f>(H33-H38)*0.08</f>
        <v>12.88</v>
      </c>
      <c r="P39" s="30">
        <f>O39/(K38-K33)*1000</f>
        <v>218.67572156196945</v>
      </c>
      <c r="Q39" t="s">
        <v>45</v>
      </c>
    </row>
    <row r="41" spans="2:14" ht="12.75">
      <c r="B41" t="s">
        <v>46</v>
      </c>
      <c r="H41">
        <v>146</v>
      </c>
      <c r="K41" s="164">
        <v>16.3</v>
      </c>
      <c r="L41">
        <v>1.9</v>
      </c>
      <c r="N41" t="s">
        <v>199</v>
      </c>
    </row>
    <row r="42" spans="2:14" ht="12.75">
      <c r="B42" t="s">
        <v>47</v>
      </c>
      <c r="G42">
        <v>11</v>
      </c>
      <c r="H42">
        <v>91</v>
      </c>
      <c r="K42">
        <v>35</v>
      </c>
      <c r="L42">
        <v>2.6</v>
      </c>
      <c r="N42" t="s">
        <v>48</v>
      </c>
    </row>
    <row r="43" spans="2:14" ht="12.75">
      <c r="B43" t="s">
        <v>21</v>
      </c>
      <c r="H43">
        <v>165</v>
      </c>
      <c r="K43">
        <v>26.2</v>
      </c>
      <c r="N43" t="s">
        <v>49</v>
      </c>
    </row>
    <row r="45" spans="2:16" ht="12.75">
      <c r="B45" t="s">
        <v>50</v>
      </c>
      <c r="O45" s="29">
        <f>(H29-H42)*0.08</f>
        <v>13.120000000000001</v>
      </c>
      <c r="P45" s="30">
        <f>O45/(K42-K29)*1000</f>
        <v>374.8571428571429</v>
      </c>
    </row>
    <row r="46" spans="2:16" ht="12.75">
      <c r="B46" t="s">
        <v>51</v>
      </c>
      <c r="O46" s="29">
        <f>(H42-H30)*0.08</f>
        <v>0.48</v>
      </c>
      <c r="P46" s="30">
        <f>O46/(K30-K42)*1000</f>
        <v>30.18867924528302</v>
      </c>
    </row>
    <row r="48" spans="2:15" ht="12.75">
      <c r="B48" t="s">
        <v>150</v>
      </c>
      <c r="D48" t="s">
        <v>152</v>
      </c>
      <c r="O48">
        <f>(H11-H41)*0.08</f>
        <v>8.24</v>
      </c>
    </row>
    <row r="49" spans="2:15" ht="12.75">
      <c r="B49" t="s">
        <v>151</v>
      </c>
      <c r="D49" t="s">
        <v>152</v>
      </c>
      <c r="O49">
        <f>(H41-H12)*0.08</f>
        <v>4.5600000000000005</v>
      </c>
    </row>
  </sheetData>
  <mergeCells count="14">
    <mergeCell ref="A30:A33"/>
    <mergeCell ref="A34:A37"/>
    <mergeCell ref="I1:J1"/>
    <mergeCell ref="I20:J20"/>
    <mergeCell ref="A22:A25"/>
    <mergeCell ref="A26:A29"/>
    <mergeCell ref="A4:A7"/>
    <mergeCell ref="A8:A11"/>
    <mergeCell ref="A12:A15"/>
    <mergeCell ref="A16:A19"/>
    <mergeCell ref="O1:P1"/>
    <mergeCell ref="Q1:V1"/>
    <mergeCell ref="L1:M1"/>
    <mergeCell ref="L20:M20"/>
  </mergeCells>
  <printOptions/>
  <pageMargins left="0.7" right="0.4" top="0.75" bottom="0.5" header="0.5" footer="0.25"/>
  <pageSetup horizontalDpi="1200" verticalDpi="1200" orientation="portrait" r:id="rId3"/>
  <legacyDrawing r:id="rId2"/>
</worksheet>
</file>

<file path=xl/worksheets/sheet13.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7.7109375" defaultRowHeight="12.75"/>
  <cols>
    <col min="1" max="1" width="4.7109375" style="0" customWidth="1"/>
    <col min="2" max="2" width="10.7109375" style="0" customWidth="1"/>
    <col min="3" max="3" width="6.7109375" style="0" customWidth="1"/>
    <col min="4" max="11" width="6.00390625" style="0" customWidth="1"/>
    <col min="12" max="12" width="13.140625" style="0" customWidth="1"/>
  </cols>
  <sheetData>
    <row r="1" spans="1:12" ht="12.75">
      <c r="A1" s="1" t="s">
        <v>317</v>
      </c>
      <c r="B1" s="2"/>
      <c r="C1" s="3"/>
      <c r="D1" s="120" t="s">
        <v>0</v>
      </c>
      <c r="E1" s="121" t="s">
        <v>286</v>
      </c>
      <c r="F1" s="121" t="s">
        <v>2</v>
      </c>
      <c r="G1" s="3" t="s">
        <v>2</v>
      </c>
      <c r="H1" s="121" t="s">
        <v>121</v>
      </c>
      <c r="I1" s="239" t="s">
        <v>4</v>
      </c>
      <c r="J1" s="263"/>
      <c r="K1" s="264"/>
      <c r="L1" s="122" t="s">
        <v>6</v>
      </c>
    </row>
    <row r="2" spans="1:12" ht="26.25" thickBot="1">
      <c r="A2" s="7"/>
      <c r="B2" s="46" t="s">
        <v>7</v>
      </c>
      <c r="C2" s="47" t="s">
        <v>8</v>
      </c>
      <c r="D2" s="123" t="s">
        <v>9</v>
      </c>
      <c r="E2" s="123" t="s">
        <v>9</v>
      </c>
      <c r="F2" s="123" t="s">
        <v>287</v>
      </c>
      <c r="G2" s="48" t="s">
        <v>288</v>
      </c>
      <c r="H2" s="124" t="s">
        <v>13</v>
      </c>
      <c r="I2" s="48" t="s">
        <v>14</v>
      </c>
      <c r="J2" s="123" t="s">
        <v>13</v>
      </c>
      <c r="K2" s="123" t="s">
        <v>18</v>
      </c>
      <c r="L2" s="125" t="s">
        <v>289</v>
      </c>
    </row>
    <row r="3" spans="1:12" ht="18.75" customHeight="1" thickBot="1" thickTop="1">
      <c r="A3" s="16"/>
      <c r="B3" s="17" t="s">
        <v>19</v>
      </c>
      <c r="C3" s="64">
        <v>0.3229166666666667</v>
      </c>
      <c r="D3" s="19">
        <v>62</v>
      </c>
      <c r="E3" s="19">
        <v>64</v>
      </c>
      <c r="F3" s="19"/>
      <c r="G3" s="19">
        <v>213</v>
      </c>
      <c r="H3" s="19"/>
      <c r="I3" s="21">
        <v>0</v>
      </c>
      <c r="J3" s="21">
        <v>0</v>
      </c>
      <c r="K3" s="21">
        <v>0</v>
      </c>
      <c r="L3" s="23" t="s">
        <v>290</v>
      </c>
    </row>
    <row r="4" spans="1:12" ht="18.75" customHeight="1" thickTop="1">
      <c r="A4" s="255" t="s">
        <v>21</v>
      </c>
      <c r="B4" s="24" t="s">
        <v>22</v>
      </c>
      <c r="C4" s="55">
        <v>0.3611111111111111</v>
      </c>
      <c r="D4" s="26">
        <v>59</v>
      </c>
      <c r="E4" s="26">
        <v>71</v>
      </c>
      <c r="F4" s="26">
        <v>91</v>
      </c>
      <c r="G4" s="26">
        <v>176</v>
      </c>
      <c r="H4" s="217"/>
      <c r="I4" s="218">
        <v>34.2</v>
      </c>
      <c r="J4" s="219">
        <v>8.34</v>
      </c>
      <c r="K4" s="26">
        <v>244</v>
      </c>
      <c r="L4" s="28" t="s">
        <v>25</v>
      </c>
    </row>
    <row r="5" spans="1:12" ht="18.75" customHeight="1">
      <c r="A5" s="253"/>
      <c r="B5" s="31" t="s">
        <v>35</v>
      </c>
      <c r="C5" s="61">
        <v>0.36874999999999997</v>
      </c>
      <c r="D5" s="33"/>
      <c r="E5" s="33"/>
      <c r="F5" s="33"/>
      <c r="G5" s="33"/>
      <c r="H5" s="217"/>
      <c r="I5" s="220"/>
      <c r="J5" s="221"/>
      <c r="K5" s="217"/>
      <c r="L5" s="35" t="s">
        <v>291</v>
      </c>
    </row>
    <row r="6" spans="1:12" ht="18.75" customHeight="1">
      <c r="A6" s="253"/>
      <c r="B6" s="31" t="s">
        <v>36</v>
      </c>
      <c r="C6" s="61">
        <v>0.3965277777777778</v>
      </c>
      <c r="D6" s="33">
        <v>62</v>
      </c>
      <c r="E6" s="33">
        <v>71</v>
      </c>
      <c r="F6" s="33">
        <v>98</v>
      </c>
      <c r="G6" s="33">
        <v>190</v>
      </c>
      <c r="H6" s="33">
        <v>4</v>
      </c>
      <c r="I6" s="220"/>
      <c r="J6" s="221"/>
      <c r="K6" s="217"/>
      <c r="L6" s="35" t="s">
        <v>292</v>
      </c>
    </row>
    <row r="7" spans="1:12" ht="18.75" customHeight="1" thickBot="1">
      <c r="A7" s="254"/>
      <c r="B7" s="36" t="s">
        <v>27</v>
      </c>
      <c r="C7" s="57">
        <v>0.40972222222222227</v>
      </c>
      <c r="D7" s="38"/>
      <c r="E7" s="38"/>
      <c r="F7" s="38"/>
      <c r="G7" s="222">
        <v>190</v>
      </c>
      <c r="H7" s="223"/>
      <c r="I7" s="224"/>
      <c r="J7" s="225"/>
      <c r="K7" s="40"/>
      <c r="L7" s="41"/>
    </row>
    <row r="8" spans="1:12" ht="18.75" customHeight="1" thickTop="1">
      <c r="A8" s="255" t="s">
        <v>28</v>
      </c>
      <c r="B8" s="24" t="s">
        <v>22</v>
      </c>
      <c r="C8" s="55">
        <v>0.4381944444444445</v>
      </c>
      <c r="D8" s="26">
        <v>62</v>
      </c>
      <c r="E8" s="26">
        <v>77</v>
      </c>
      <c r="F8" s="26">
        <v>82</v>
      </c>
      <c r="G8" s="26">
        <v>158</v>
      </c>
      <c r="H8" s="217"/>
      <c r="I8" s="218">
        <v>60.7</v>
      </c>
      <c r="J8" s="219">
        <v>15.39</v>
      </c>
      <c r="K8" s="26">
        <v>254</v>
      </c>
      <c r="L8" s="42" t="s">
        <v>293</v>
      </c>
    </row>
    <row r="9" spans="1:12" ht="18.75" customHeight="1">
      <c r="A9" s="253"/>
      <c r="B9" s="31" t="s">
        <v>35</v>
      </c>
      <c r="C9" s="61">
        <v>0.4534722222222222</v>
      </c>
      <c r="D9" s="33"/>
      <c r="E9" s="33"/>
      <c r="F9" s="33"/>
      <c r="G9" s="33"/>
      <c r="H9" s="217"/>
      <c r="I9" s="220"/>
      <c r="J9" s="221"/>
      <c r="K9" s="217"/>
      <c r="L9" s="35" t="s">
        <v>294</v>
      </c>
    </row>
    <row r="10" spans="1:12" ht="18.75" customHeight="1">
      <c r="A10" s="253"/>
      <c r="B10" s="31" t="s">
        <v>36</v>
      </c>
      <c r="C10" s="61">
        <v>0.4701388888888889</v>
      </c>
      <c r="D10" s="33">
        <v>73</v>
      </c>
      <c r="E10" s="33">
        <v>71</v>
      </c>
      <c r="F10" s="33">
        <v>87</v>
      </c>
      <c r="G10" s="33">
        <v>168</v>
      </c>
      <c r="H10" s="33">
        <v>2</v>
      </c>
      <c r="I10" s="220"/>
      <c r="J10" s="221"/>
      <c r="K10" s="217"/>
      <c r="L10" s="35" t="s">
        <v>292</v>
      </c>
    </row>
    <row r="11" spans="1:12" ht="18.75" customHeight="1" thickBot="1">
      <c r="A11" s="254"/>
      <c r="B11" s="36" t="s">
        <v>27</v>
      </c>
      <c r="C11" s="57">
        <v>0.47291666666666665</v>
      </c>
      <c r="D11" s="38"/>
      <c r="E11" s="38"/>
      <c r="F11" s="38"/>
      <c r="G11" s="38"/>
      <c r="H11" s="223"/>
      <c r="I11" s="224"/>
      <c r="J11" s="225"/>
      <c r="K11" s="40"/>
      <c r="L11" s="41" t="s">
        <v>295</v>
      </c>
    </row>
    <row r="12" spans="1:12" ht="18.75" customHeight="1" thickTop="1">
      <c r="A12" s="255" t="s">
        <v>30</v>
      </c>
      <c r="B12" s="24" t="s">
        <v>22</v>
      </c>
      <c r="C12" s="55">
        <v>0.513888888888889</v>
      </c>
      <c r="D12" s="26">
        <v>78</v>
      </c>
      <c r="E12" s="26">
        <v>84</v>
      </c>
      <c r="F12" s="26">
        <v>59</v>
      </c>
      <c r="G12" s="26">
        <v>113</v>
      </c>
      <c r="H12" s="217"/>
      <c r="I12" s="218">
        <v>111.9</v>
      </c>
      <c r="J12" s="219">
        <v>27.53</v>
      </c>
      <c r="K12" s="26">
        <v>246</v>
      </c>
      <c r="L12" s="42" t="s">
        <v>296</v>
      </c>
    </row>
    <row r="13" spans="1:12" ht="18.75" customHeight="1">
      <c r="A13" s="253"/>
      <c r="B13" s="31" t="s">
        <v>35</v>
      </c>
      <c r="C13" s="61">
        <v>0.5277777777777778</v>
      </c>
      <c r="D13" s="33">
        <v>74</v>
      </c>
      <c r="E13" s="33"/>
      <c r="F13" s="33"/>
      <c r="G13" s="33"/>
      <c r="H13" s="217"/>
      <c r="I13" s="220"/>
      <c r="J13" s="221"/>
      <c r="K13" s="217"/>
      <c r="L13" s="35" t="s">
        <v>297</v>
      </c>
    </row>
    <row r="14" spans="1:12" ht="18.75" customHeight="1">
      <c r="A14" s="253"/>
      <c r="B14" s="31" t="s">
        <v>36</v>
      </c>
      <c r="C14" s="61">
        <v>0.5833333333333334</v>
      </c>
      <c r="D14" s="33">
        <v>95</v>
      </c>
      <c r="E14" s="33">
        <v>80</v>
      </c>
      <c r="F14" s="33">
        <v>62</v>
      </c>
      <c r="G14" s="33">
        <v>117</v>
      </c>
      <c r="H14" s="33">
        <v>4</v>
      </c>
      <c r="I14" s="220"/>
      <c r="J14" s="221"/>
      <c r="K14" s="217"/>
      <c r="L14" s="35" t="s">
        <v>292</v>
      </c>
    </row>
    <row r="15" spans="1:12" ht="18.75" customHeight="1" thickBot="1">
      <c r="A15" s="254"/>
      <c r="B15" s="36" t="s">
        <v>27</v>
      </c>
      <c r="C15" s="57">
        <v>0.5944444444444444</v>
      </c>
      <c r="D15" s="38">
        <v>98</v>
      </c>
      <c r="E15" s="38">
        <v>82</v>
      </c>
      <c r="F15" s="38">
        <v>62</v>
      </c>
      <c r="G15" s="38">
        <v>117</v>
      </c>
      <c r="H15" s="223"/>
      <c r="I15" s="224">
        <v>112</v>
      </c>
      <c r="J15" s="225">
        <v>27.59</v>
      </c>
      <c r="K15" s="40">
        <v>246</v>
      </c>
      <c r="L15" s="41"/>
    </row>
    <row r="16" spans="1:12" ht="18.75" customHeight="1" thickTop="1">
      <c r="A16" s="252" t="s">
        <v>33</v>
      </c>
      <c r="B16" s="24" t="s">
        <v>22</v>
      </c>
      <c r="C16" s="55">
        <v>0.6166666666666667</v>
      </c>
      <c r="D16" s="26">
        <v>87</v>
      </c>
      <c r="E16" s="26">
        <v>87</v>
      </c>
      <c r="F16" s="26">
        <v>53</v>
      </c>
      <c r="G16" s="26">
        <v>99</v>
      </c>
      <c r="H16" s="217"/>
      <c r="I16" s="218">
        <v>132.6</v>
      </c>
      <c r="J16" s="219">
        <v>31.68</v>
      </c>
      <c r="K16" s="26">
        <v>239</v>
      </c>
      <c r="L16" s="42"/>
    </row>
    <row r="17" spans="1:12" ht="18.75" customHeight="1">
      <c r="A17" s="253"/>
      <c r="B17" s="31" t="s">
        <v>35</v>
      </c>
      <c r="C17" s="33"/>
      <c r="D17" s="33"/>
      <c r="E17" s="33"/>
      <c r="F17" s="33"/>
      <c r="G17" s="33"/>
      <c r="H17" s="217"/>
      <c r="I17" s="220"/>
      <c r="J17" s="221"/>
      <c r="K17" s="217"/>
      <c r="L17" s="35" t="s">
        <v>292</v>
      </c>
    </row>
    <row r="18" spans="1:12" ht="18.75" customHeight="1">
      <c r="A18" s="253"/>
      <c r="B18" s="31" t="s">
        <v>36</v>
      </c>
      <c r="C18" s="33"/>
      <c r="D18" s="33"/>
      <c r="E18" s="33"/>
      <c r="F18" s="33"/>
      <c r="G18" s="33"/>
      <c r="H18" s="33"/>
      <c r="I18" s="220"/>
      <c r="J18" s="221"/>
      <c r="K18" s="217"/>
      <c r="L18" s="35" t="s">
        <v>292</v>
      </c>
    </row>
    <row r="19" spans="1:12" ht="18.75" customHeight="1" thickBot="1">
      <c r="A19" s="254"/>
      <c r="B19" s="36" t="s">
        <v>27</v>
      </c>
      <c r="C19" s="57">
        <v>0.6368055555555555</v>
      </c>
      <c r="D19" s="38"/>
      <c r="E19" s="38"/>
      <c r="F19" s="38"/>
      <c r="G19" s="38"/>
      <c r="H19" s="223"/>
      <c r="I19" s="224"/>
      <c r="J19" s="225"/>
      <c r="K19" s="40"/>
      <c r="L19" s="41"/>
    </row>
    <row r="20" spans="1:12" ht="12.75">
      <c r="A20" s="1"/>
      <c r="B20" s="2"/>
      <c r="C20" s="3"/>
      <c r="D20" s="120" t="s">
        <v>0</v>
      </c>
      <c r="E20" s="121">
        <v>89</v>
      </c>
      <c r="F20" s="121" t="s">
        <v>2</v>
      </c>
      <c r="G20" s="3" t="s">
        <v>2</v>
      </c>
      <c r="H20" s="121" t="s">
        <v>121</v>
      </c>
      <c r="I20" s="239" t="s">
        <v>4</v>
      </c>
      <c r="J20" s="263"/>
      <c r="K20" s="264"/>
      <c r="L20" s="84" t="s">
        <v>6</v>
      </c>
    </row>
    <row r="21" spans="1:12" ht="26.25" thickBot="1">
      <c r="A21" s="7"/>
      <c r="B21" s="46" t="s">
        <v>7</v>
      </c>
      <c r="C21" s="47" t="s">
        <v>8</v>
      </c>
      <c r="D21" s="123" t="s">
        <v>9</v>
      </c>
      <c r="E21" s="123" t="s">
        <v>9</v>
      </c>
      <c r="F21" s="123" t="s">
        <v>287</v>
      </c>
      <c r="G21" s="48" t="s">
        <v>288</v>
      </c>
      <c r="H21" s="124" t="s">
        <v>13</v>
      </c>
      <c r="I21" s="48" t="s">
        <v>14</v>
      </c>
      <c r="J21" s="123" t="s">
        <v>13</v>
      </c>
      <c r="K21" s="123" t="s">
        <v>18</v>
      </c>
      <c r="L21" s="125" t="s">
        <v>289</v>
      </c>
    </row>
    <row r="22" spans="1:12" ht="18.75" customHeight="1" thickTop="1">
      <c r="A22" s="252" t="s">
        <v>37</v>
      </c>
      <c r="B22" s="24" t="s">
        <v>22</v>
      </c>
      <c r="C22" s="55">
        <v>0.6416666666666667</v>
      </c>
      <c r="D22" s="26">
        <v>87</v>
      </c>
      <c r="E22" s="26">
        <v>89</v>
      </c>
      <c r="F22" s="26">
        <v>52</v>
      </c>
      <c r="G22" s="26">
        <v>97</v>
      </c>
      <c r="H22" s="217"/>
      <c r="I22" s="218">
        <v>134.4</v>
      </c>
      <c r="J22" s="219">
        <v>32.07</v>
      </c>
      <c r="K22" s="26">
        <v>239</v>
      </c>
      <c r="L22" s="42" t="s">
        <v>298</v>
      </c>
    </row>
    <row r="23" spans="1:12" ht="18.75" customHeight="1">
      <c r="A23" s="253"/>
      <c r="B23" s="31" t="s">
        <v>35</v>
      </c>
      <c r="C23" s="61">
        <v>0.6479166666666667</v>
      </c>
      <c r="D23" s="33"/>
      <c r="E23" s="33"/>
      <c r="F23" s="33"/>
      <c r="G23" s="33"/>
      <c r="H23" s="217"/>
      <c r="I23" s="220"/>
      <c r="J23" s="221"/>
      <c r="K23" s="217"/>
      <c r="L23" s="35" t="s">
        <v>299</v>
      </c>
    </row>
    <row r="24" spans="1:12" ht="18.75" customHeight="1">
      <c r="A24" s="253"/>
      <c r="B24" s="31" t="s">
        <v>36</v>
      </c>
      <c r="C24" s="61">
        <v>0.7069444444444444</v>
      </c>
      <c r="D24" s="33"/>
      <c r="E24" s="33"/>
      <c r="F24" s="33"/>
      <c r="G24" s="33"/>
      <c r="H24" s="33">
        <v>14</v>
      </c>
      <c r="I24" s="220"/>
      <c r="J24" s="221"/>
      <c r="K24" s="217"/>
      <c r="L24" s="35" t="s">
        <v>292</v>
      </c>
    </row>
    <row r="25" spans="1:12" ht="18.75" customHeight="1" thickBot="1">
      <c r="A25" s="254"/>
      <c r="B25" s="36" t="s">
        <v>27</v>
      </c>
      <c r="C25" s="57">
        <v>0.7131944444444445</v>
      </c>
      <c r="D25" s="38">
        <v>93</v>
      </c>
      <c r="E25" s="38">
        <v>84</v>
      </c>
      <c r="F25" s="38">
        <v>78</v>
      </c>
      <c r="G25" s="38">
        <v>149</v>
      </c>
      <c r="H25" s="223"/>
      <c r="I25" s="224"/>
      <c r="J25" s="225"/>
      <c r="K25" s="40"/>
      <c r="L25" s="41"/>
    </row>
    <row r="26" spans="1:12" ht="18.75" customHeight="1" thickTop="1">
      <c r="A26" s="255" t="s">
        <v>30</v>
      </c>
      <c r="B26" s="24" t="s">
        <v>22</v>
      </c>
      <c r="C26" s="55">
        <v>0.7395833333333334</v>
      </c>
      <c r="D26" s="26">
        <v>82</v>
      </c>
      <c r="E26" s="26">
        <v>91</v>
      </c>
      <c r="F26" s="26">
        <v>65</v>
      </c>
      <c r="G26" s="26">
        <v>123</v>
      </c>
      <c r="H26" s="217"/>
      <c r="I26" s="218">
        <v>156.8</v>
      </c>
      <c r="J26" s="219">
        <v>38</v>
      </c>
      <c r="K26" s="26">
        <v>242</v>
      </c>
      <c r="L26" s="42"/>
    </row>
    <row r="27" spans="1:12" ht="18.75" customHeight="1">
      <c r="A27" s="253"/>
      <c r="B27" s="31" t="s">
        <v>35</v>
      </c>
      <c r="C27" s="61">
        <v>0.7430555555555555</v>
      </c>
      <c r="D27" s="33"/>
      <c r="E27" s="33"/>
      <c r="F27" s="33"/>
      <c r="G27" s="33"/>
      <c r="H27" s="217"/>
      <c r="I27" s="220"/>
      <c r="J27" s="221"/>
      <c r="K27" s="217"/>
      <c r="L27" s="35" t="s">
        <v>300</v>
      </c>
    </row>
    <row r="28" spans="1:12" ht="18.75" customHeight="1">
      <c r="A28" s="253"/>
      <c r="B28" s="31" t="s">
        <v>36</v>
      </c>
      <c r="C28" s="61">
        <v>0.7576388888888889</v>
      </c>
      <c r="D28" s="33">
        <v>91</v>
      </c>
      <c r="E28" s="33">
        <v>84</v>
      </c>
      <c r="F28" s="33">
        <v>68</v>
      </c>
      <c r="G28" s="33">
        <v>130</v>
      </c>
      <c r="H28" s="33"/>
      <c r="I28" s="220"/>
      <c r="J28" s="221"/>
      <c r="K28" s="217"/>
      <c r="L28" s="35" t="s">
        <v>292</v>
      </c>
    </row>
    <row r="29" spans="1:12" ht="18.75" customHeight="1" thickBot="1">
      <c r="A29" s="254"/>
      <c r="B29" s="36" t="s">
        <v>27</v>
      </c>
      <c r="C29" s="57">
        <v>0.7604166666666666</v>
      </c>
      <c r="D29" s="38"/>
      <c r="E29" s="38"/>
      <c r="F29" s="38"/>
      <c r="G29" s="38"/>
      <c r="H29" s="223"/>
      <c r="I29" s="224"/>
      <c r="J29" s="225"/>
      <c r="K29" s="40"/>
      <c r="L29" s="41" t="s">
        <v>301</v>
      </c>
    </row>
    <row r="30" spans="1:12" ht="18.75" customHeight="1" thickTop="1">
      <c r="A30" s="255" t="s">
        <v>28</v>
      </c>
      <c r="B30" s="24" t="s">
        <v>22</v>
      </c>
      <c r="C30" s="55">
        <v>0.8027777777777777</v>
      </c>
      <c r="D30" s="26">
        <v>60</v>
      </c>
      <c r="E30" s="26">
        <v>93</v>
      </c>
      <c r="F30" s="26">
        <v>38</v>
      </c>
      <c r="G30" s="26">
        <v>72</v>
      </c>
      <c r="H30" s="217"/>
      <c r="I30" s="218">
        <v>207.8</v>
      </c>
      <c r="J30" s="219">
        <v>50.96</v>
      </c>
      <c r="K30" s="26">
        <v>245</v>
      </c>
      <c r="L30" s="42"/>
    </row>
    <row r="31" spans="1:12" ht="18.75" customHeight="1">
      <c r="A31" s="253"/>
      <c r="B31" s="31" t="s">
        <v>35</v>
      </c>
      <c r="C31" s="33"/>
      <c r="D31" s="33"/>
      <c r="E31" s="33"/>
      <c r="F31" s="33"/>
      <c r="G31" s="33"/>
      <c r="H31" s="217"/>
      <c r="I31" s="220"/>
      <c r="J31" s="221"/>
      <c r="K31" s="217"/>
      <c r="L31" s="35" t="s">
        <v>292</v>
      </c>
    </row>
    <row r="32" spans="1:12" ht="18.75" customHeight="1">
      <c r="A32" s="253"/>
      <c r="B32" s="31" t="s">
        <v>36</v>
      </c>
      <c r="C32" s="33"/>
      <c r="D32" s="33"/>
      <c r="E32" s="33"/>
      <c r="F32" s="33"/>
      <c r="G32" s="33"/>
      <c r="H32" s="33"/>
      <c r="I32" s="220"/>
      <c r="J32" s="221"/>
      <c r="K32" s="217"/>
      <c r="L32" s="35" t="s">
        <v>292</v>
      </c>
    </row>
    <row r="33" spans="1:12" ht="18.75" customHeight="1" thickBot="1">
      <c r="A33" s="254"/>
      <c r="B33" s="36" t="s">
        <v>27</v>
      </c>
      <c r="C33" s="57">
        <v>0.8208333333333333</v>
      </c>
      <c r="D33" s="38">
        <v>60</v>
      </c>
      <c r="E33" s="38">
        <v>91</v>
      </c>
      <c r="F33" s="38">
        <v>38</v>
      </c>
      <c r="G33" s="38">
        <v>72</v>
      </c>
      <c r="H33" s="223"/>
      <c r="I33" s="224"/>
      <c r="J33" s="225"/>
      <c r="K33" s="40"/>
      <c r="L33" s="41"/>
    </row>
    <row r="34" spans="1:12" ht="18.75" customHeight="1" thickTop="1">
      <c r="A34" s="255" t="s">
        <v>21</v>
      </c>
      <c r="B34" s="24" t="s">
        <v>22</v>
      </c>
      <c r="C34" s="26"/>
      <c r="D34" s="26"/>
      <c r="E34" s="26"/>
      <c r="F34" s="26"/>
      <c r="G34" s="26"/>
      <c r="H34" s="217"/>
      <c r="I34" s="218"/>
      <c r="J34" s="219"/>
      <c r="K34" s="26"/>
      <c r="L34" s="42"/>
    </row>
    <row r="35" spans="1:12" ht="18.75" customHeight="1">
      <c r="A35" s="253"/>
      <c r="B35" s="31" t="s">
        <v>35</v>
      </c>
      <c r="C35" s="33"/>
      <c r="D35" s="33"/>
      <c r="E35" s="33"/>
      <c r="F35" s="33"/>
      <c r="G35" s="33"/>
      <c r="H35" s="217"/>
      <c r="I35" s="220"/>
      <c r="J35" s="221"/>
      <c r="K35" s="217"/>
      <c r="L35" s="35" t="s">
        <v>292</v>
      </c>
    </row>
    <row r="36" spans="1:12" ht="18.75" customHeight="1">
      <c r="A36" s="253"/>
      <c r="B36" s="31" t="s">
        <v>36</v>
      </c>
      <c r="C36" s="33"/>
      <c r="D36" s="33"/>
      <c r="E36" s="33"/>
      <c r="F36" s="33"/>
      <c r="G36" s="33"/>
      <c r="H36" s="33"/>
      <c r="I36" s="220"/>
      <c r="J36" s="221"/>
      <c r="K36" s="217"/>
      <c r="L36" s="35" t="s">
        <v>292</v>
      </c>
    </row>
    <row r="37" spans="1:12" ht="18.75" customHeight="1" thickBot="1">
      <c r="A37" s="254"/>
      <c r="B37" s="36" t="s">
        <v>27</v>
      </c>
      <c r="C37" s="38"/>
      <c r="D37" s="38"/>
      <c r="E37" s="38"/>
      <c r="F37" s="38"/>
      <c r="G37" s="38"/>
      <c r="H37" s="217"/>
      <c r="I37" s="224"/>
      <c r="J37" s="225"/>
      <c r="K37" s="40"/>
      <c r="L37" s="41"/>
    </row>
    <row r="38" spans="1:12" ht="18.75" customHeight="1" thickBot="1" thickTop="1">
      <c r="A38" s="45"/>
      <c r="B38" s="17" t="s">
        <v>19</v>
      </c>
      <c r="C38" s="64">
        <v>0.8868055555555556</v>
      </c>
      <c r="D38" s="19">
        <v>64</v>
      </c>
      <c r="E38" s="19">
        <v>102</v>
      </c>
      <c r="F38" s="19">
        <v>8</v>
      </c>
      <c r="G38" s="19">
        <v>15</v>
      </c>
      <c r="H38" s="19"/>
      <c r="I38" s="226">
        <v>267</v>
      </c>
      <c r="J38" s="227">
        <v>64</v>
      </c>
      <c r="K38" s="21">
        <v>240</v>
      </c>
      <c r="L38" s="23" t="s">
        <v>302</v>
      </c>
    </row>
  </sheetData>
  <mergeCells count="10">
    <mergeCell ref="A16:A19"/>
    <mergeCell ref="I20:K20"/>
    <mergeCell ref="I1:K1"/>
    <mergeCell ref="A4:A7"/>
    <mergeCell ref="A8:A11"/>
    <mergeCell ref="A12:A15"/>
    <mergeCell ref="A22:A25"/>
    <mergeCell ref="A26:A29"/>
    <mergeCell ref="A30:A33"/>
    <mergeCell ref="A34:A37"/>
  </mergeCells>
  <printOptions/>
  <pageMargins left="0.75" right="0.5" top="0.75" bottom="0.5" header="0.5" footer="0.5"/>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N34"/>
  <sheetViews>
    <sheetView workbookViewId="0" topLeftCell="A1">
      <selection activeCell="A1" sqref="A1"/>
    </sheetView>
  </sheetViews>
  <sheetFormatPr defaultColWidth="9.140625" defaultRowHeight="12.75"/>
  <cols>
    <col min="1" max="1" width="4.7109375" style="0" customWidth="1"/>
    <col min="2" max="2" width="12.00390625" style="0" bestFit="1" customWidth="1"/>
    <col min="3" max="4" width="6.7109375" style="0" customWidth="1"/>
    <col min="5" max="13" width="5.7109375" style="0" customWidth="1"/>
    <col min="14" max="14" width="14.7109375" style="0" customWidth="1"/>
  </cols>
  <sheetData>
    <row r="1" spans="1:14" ht="12.75">
      <c r="A1" s="1" t="s">
        <v>140</v>
      </c>
      <c r="B1" s="2"/>
      <c r="C1" s="3"/>
      <c r="D1" s="4" t="s">
        <v>0</v>
      </c>
      <c r="E1" s="5" t="s">
        <v>1</v>
      </c>
      <c r="F1" s="5" t="s">
        <v>2</v>
      </c>
      <c r="G1" s="5"/>
      <c r="H1" s="3"/>
      <c r="I1" s="257" t="s">
        <v>3</v>
      </c>
      <c r="J1" s="258"/>
      <c r="K1" s="3" t="s">
        <v>4</v>
      </c>
      <c r="L1" s="256" t="s">
        <v>5</v>
      </c>
      <c r="M1" s="256"/>
      <c r="N1" s="6" t="s">
        <v>6</v>
      </c>
    </row>
    <row r="2" spans="1:14" ht="13.5" thickBot="1">
      <c r="A2" s="7"/>
      <c r="B2" s="8" t="s">
        <v>7</v>
      </c>
      <c r="C2" s="9" t="s">
        <v>8</v>
      </c>
      <c r="D2" s="10" t="s">
        <v>9</v>
      </c>
      <c r="E2" s="10" t="s">
        <v>10</v>
      </c>
      <c r="F2" s="10" t="s">
        <v>10</v>
      </c>
      <c r="G2" s="10" t="s">
        <v>11</v>
      </c>
      <c r="H2" s="9" t="s">
        <v>12</v>
      </c>
      <c r="I2" s="11" t="s">
        <v>2</v>
      </c>
      <c r="J2" s="11" t="s">
        <v>13</v>
      </c>
      <c r="K2" s="12" t="s">
        <v>14</v>
      </c>
      <c r="L2" s="10" t="s">
        <v>15</v>
      </c>
      <c r="M2" s="10" t="s">
        <v>16</v>
      </c>
      <c r="N2" s="13" t="s">
        <v>17</v>
      </c>
    </row>
    <row r="3" spans="1:14" ht="19.5" customHeight="1" thickBot="1" thickTop="1">
      <c r="A3" s="16"/>
      <c r="B3" s="17" t="s">
        <v>19</v>
      </c>
      <c r="C3" s="61">
        <v>0.33749999999999997</v>
      </c>
      <c r="D3" s="33">
        <v>63</v>
      </c>
      <c r="E3" s="33">
        <v>5</v>
      </c>
      <c r="F3" s="33">
        <v>8</v>
      </c>
      <c r="G3" s="33">
        <v>60</v>
      </c>
      <c r="H3" s="33">
        <v>198</v>
      </c>
      <c r="I3" s="20"/>
      <c r="J3" s="20"/>
      <c r="K3" s="26">
        <v>0</v>
      </c>
      <c r="L3" s="22" t="s">
        <v>20</v>
      </c>
      <c r="M3" s="22" t="s">
        <v>20</v>
      </c>
      <c r="N3" s="65" t="s">
        <v>128</v>
      </c>
    </row>
    <row r="4" spans="1:14" ht="19.5" customHeight="1" thickTop="1">
      <c r="A4" s="255" t="s">
        <v>129</v>
      </c>
      <c r="B4" s="24" t="s">
        <v>22</v>
      </c>
      <c r="C4" s="26"/>
      <c r="D4" s="26"/>
      <c r="E4" s="26"/>
      <c r="F4" s="26"/>
      <c r="G4" s="26"/>
      <c r="H4" s="26"/>
      <c r="I4" s="27"/>
      <c r="J4" s="27"/>
      <c r="K4" s="26"/>
      <c r="L4" s="26"/>
      <c r="M4" s="26"/>
      <c r="N4" s="42"/>
    </row>
    <row r="5" spans="1:14" ht="19.5" customHeight="1">
      <c r="A5" s="253"/>
      <c r="B5" s="31" t="s">
        <v>24</v>
      </c>
      <c r="C5" s="118">
        <v>0.34722222222222227</v>
      </c>
      <c r="I5" s="33"/>
      <c r="J5" s="34"/>
      <c r="K5" s="34"/>
      <c r="L5" s="34"/>
      <c r="M5" s="34"/>
      <c r="N5" s="58" t="s">
        <v>130</v>
      </c>
    </row>
    <row r="6" spans="1:14" ht="19.5" customHeight="1">
      <c r="A6" s="253"/>
      <c r="B6" s="31" t="s">
        <v>26</v>
      </c>
      <c r="C6" s="61">
        <v>0.3680555555555556</v>
      </c>
      <c r="D6" s="33">
        <v>61</v>
      </c>
      <c r="E6" s="33">
        <v>5</v>
      </c>
      <c r="F6" s="33">
        <v>11</v>
      </c>
      <c r="G6" s="33">
        <v>85</v>
      </c>
      <c r="H6" s="33">
        <v>245</v>
      </c>
      <c r="I6" s="33"/>
      <c r="J6" s="33"/>
      <c r="K6" s="34"/>
      <c r="L6" s="34"/>
      <c r="M6" s="34"/>
      <c r="N6" s="58" t="s">
        <v>131</v>
      </c>
    </row>
    <row r="7" spans="1:14" ht="19.5" customHeight="1" thickBot="1">
      <c r="A7" s="254"/>
      <c r="B7" s="36" t="s">
        <v>27</v>
      </c>
      <c r="C7" s="38"/>
      <c r="D7" s="38"/>
      <c r="E7" s="38"/>
      <c r="F7" s="38"/>
      <c r="G7" s="38"/>
      <c r="H7" s="38"/>
      <c r="I7" s="39"/>
      <c r="J7" s="39"/>
      <c r="K7" s="40">
        <v>3</v>
      </c>
      <c r="L7" s="40" t="s">
        <v>20</v>
      </c>
      <c r="M7" s="40" t="s">
        <v>20</v>
      </c>
      <c r="N7" s="41"/>
    </row>
    <row r="8" spans="1:14" ht="19.5" customHeight="1" thickTop="1">
      <c r="A8" s="255" t="s">
        <v>21</v>
      </c>
      <c r="B8" s="24" t="s">
        <v>22</v>
      </c>
      <c r="C8" s="55">
        <v>0.40069444444444446</v>
      </c>
      <c r="D8" s="26">
        <v>59</v>
      </c>
      <c r="E8" s="26">
        <v>5</v>
      </c>
      <c r="F8" s="26">
        <v>3</v>
      </c>
      <c r="G8" s="26">
        <v>25</v>
      </c>
      <c r="H8" s="26">
        <v>100</v>
      </c>
      <c r="I8" s="27"/>
      <c r="J8" s="27"/>
      <c r="K8" s="26">
        <v>42.6</v>
      </c>
      <c r="L8" s="26">
        <v>3.1</v>
      </c>
      <c r="M8" s="26">
        <v>2.9</v>
      </c>
      <c r="N8" s="28"/>
    </row>
    <row r="9" spans="1:14" ht="19.5" customHeight="1">
      <c r="A9" s="253"/>
      <c r="B9" s="31" t="s">
        <v>24</v>
      </c>
      <c r="C9" s="61">
        <v>0.40902777777777777</v>
      </c>
      <c r="D9" s="33">
        <v>59</v>
      </c>
      <c r="E9" s="33">
        <v>5</v>
      </c>
      <c r="F9" s="33">
        <v>4</v>
      </c>
      <c r="G9" s="33">
        <v>30</v>
      </c>
      <c r="H9" s="33">
        <v>120</v>
      </c>
      <c r="I9" s="33">
        <v>42</v>
      </c>
      <c r="J9" s="34"/>
      <c r="K9" s="34"/>
      <c r="L9" s="34"/>
      <c r="M9" s="34"/>
      <c r="N9" s="35"/>
    </row>
    <row r="10" spans="1:14" ht="19.5" customHeight="1">
      <c r="A10" s="253"/>
      <c r="B10" s="31" t="s">
        <v>132</v>
      </c>
      <c r="C10" s="61">
        <v>0.4166666666666667</v>
      </c>
      <c r="D10" s="33">
        <v>59</v>
      </c>
      <c r="E10" s="33">
        <v>6</v>
      </c>
      <c r="F10" s="33">
        <v>7</v>
      </c>
      <c r="G10" s="33">
        <v>48</v>
      </c>
      <c r="H10" s="33">
        <v>171</v>
      </c>
      <c r="I10" s="33"/>
      <c r="J10" s="34"/>
      <c r="K10" s="34"/>
      <c r="L10" s="34"/>
      <c r="M10" s="34"/>
      <c r="N10" s="58" t="s">
        <v>133</v>
      </c>
    </row>
    <row r="11" spans="1:14" ht="19.5" customHeight="1">
      <c r="A11" s="253"/>
      <c r="B11" s="31" t="s">
        <v>26</v>
      </c>
      <c r="C11" s="61">
        <v>0.43402777777777773</v>
      </c>
      <c r="D11" s="33">
        <v>59</v>
      </c>
      <c r="E11" s="33">
        <v>6</v>
      </c>
      <c r="F11" s="33">
        <v>11</v>
      </c>
      <c r="G11" s="33">
        <v>75</v>
      </c>
      <c r="H11" s="33">
        <v>245</v>
      </c>
      <c r="I11" s="33">
        <v>98</v>
      </c>
      <c r="J11" s="33">
        <v>6.3</v>
      </c>
      <c r="K11" s="34"/>
      <c r="L11" s="34"/>
      <c r="M11" s="34"/>
      <c r="N11" s="35"/>
    </row>
    <row r="12" spans="1:14" ht="19.5" customHeight="1" thickBot="1">
      <c r="A12" s="254"/>
      <c r="B12" s="36" t="s">
        <v>27</v>
      </c>
      <c r="C12" s="161">
        <f>C11</f>
        <v>0.43402777777777773</v>
      </c>
      <c r="D12" s="38"/>
      <c r="E12" s="38"/>
      <c r="F12" s="129">
        <f>F11</f>
        <v>11</v>
      </c>
      <c r="G12" s="38"/>
      <c r="H12" s="129">
        <f>H11</f>
        <v>245</v>
      </c>
      <c r="I12" s="39"/>
      <c r="J12" s="39"/>
      <c r="K12" s="156">
        <f>K8</f>
        <v>42.6</v>
      </c>
      <c r="L12" s="40" t="s">
        <v>20</v>
      </c>
      <c r="M12" s="40" t="s">
        <v>20</v>
      </c>
      <c r="N12" s="41"/>
    </row>
    <row r="13" spans="1:14" ht="19.5" customHeight="1" thickTop="1">
      <c r="A13" s="255" t="s">
        <v>28</v>
      </c>
      <c r="B13" s="24" t="s">
        <v>22</v>
      </c>
      <c r="C13" s="55">
        <v>0.4604166666666667</v>
      </c>
      <c r="D13" s="26">
        <v>59</v>
      </c>
      <c r="E13" s="26">
        <v>6</v>
      </c>
      <c r="F13" s="26">
        <v>5</v>
      </c>
      <c r="G13" s="26">
        <v>36</v>
      </c>
      <c r="H13" s="26">
        <v>146</v>
      </c>
      <c r="I13" s="27"/>
      <c r="J13" s="27"/>
      <c r="K13" s="26">
        <v>69.1</v>
      </c>
      <c r="L13" s="26"/>
      <c r="M13" s="26"/>
      <c r="N13" s="42"/>
    </row>
    <row r="14" spans="1:14" ht="19.5" customHeight="1">
      <c r="A14" s="253"/>
      <c r="B14" s="31" t="s">
        <v>24</v>
      </c>
      <c r="C14" s="61">
        <v>0.4798611111111111</v>
      </c>
      <c r="D14" s="33">
        <v>59</v>
      </c>
      <c r="E14" s="33">
        <v>6</v>
      </c>
      <c r="F14" s="33">
        <v>6</v>
      </c>
      <c r="G14" s="33">
        <v>44</v>
      </c>
      <c r="H14" s="33">
        <v>170</v>
      </c>
      <c r="I14" s="33">
        <v>60</v>
      </c>
      <c r="J14" s="34"/>
      <c r="K14" s="34"/>
      <c r="L14" s="34"/>
      <c r="M14" s="34"/>
      <c r="N14" s="35"/>
    </row>
    <row r="15" spans="1:14" ht="19.5" customHeight="1">
      <c r="A15" s="253"/>
      <c r="B15" s="31" t="s">
        <v>26</v>
      </c>
      <c r="C15" s="61">
        <v>0.5055555555555555</v>
      </c>
      <c r="D15" s="33">
        <v>59</v>
      </c>
      <c r="E15" s="33">
        <v>6</v>
      </c>
      <c r="F15" s="33">
        <v>12</v>
      </c>
      <c r="G15" s="33">
        <v>76</v>
      </c>
      <c r="H15" s="33">
        <v>268</v>
      </c>
      <c r="I15" s="33">
        <v>98</v>
      </c>
      <c r="J15" s="33">
        <v>9.8</v>
      </c>
      <c r="K15" s="34"/>
      <c r="L15" s="34"/>
      <c r="M15" s="34"/>
      <c r="N15" s="35"/>
    </row>
    <row r="16" spans="1:14" ht="19.5" customHeight="1" thickBot="1">
      <c r="A16" s="254"/>
      <c r="B16" s="36" t="s">
        <v>27</v>
      </c>
      <c r="C16" s="161">
        <f>C15</f>
        <v>0.5055555555555555</v>
      </c>
      <c r="D16" s="38"/>
      <c r="E16" s="38"/>
      <c r="F16" s="129">
        <f>F15</f>
        <v>12</v>
      </c>
      <c r="G16" s="38"/>
      <c r="H16" s="129">
        <f>H15</f>
        <v>268</v>
      </c>
      <c r="I16" s="39"/>
      <c r="J16" s="39"/>
      <c r="K16" s="156">
        <f>K13</f>
        <v>69.1</v>
      </c>
      <c r="L16" s="40" t="s">
        <v>20</v>
      </c>
      <c r="M16" s="40" t="s">
        <v>20</v>
      </c>
      <c r="N16" s="41"/>
    </row>
    <row r="17" spans="1:14" ht="19.5" customHeight="1" thickTop="1">
      <c r="A17" s="255" t="s">
        <v>30</v>
      </c>
      <c r="B17" s="24" t="s">
        <v>22</v>
      </c>
      <c r="C17" s="55">
        <v>0.04513888888888889</v>
      </c>
      <c r="D17" s="26">
        <v>74</v>
      </c>
      <c r="E17" s="26">
        <v>6</v>
      </c>
      <c r="F17" s="26">
        <v>2</v>
      </c>
      <c r="G17" s="26">
        <v>25</v>
      </c>
      <c r="H17" s="26">
        <v>82</v>
      </c>
      <c r="I17" s="27"/>
      <c r="J17" s="27"/>
      <c r="K17" s="26">
        <v>120</v>
      </c>
      <c r="L17" s="26">
        <v>3.2</v>
      </c>
      <c r="M17" s="26">
        <v>2.9</v>
      </c>
      <c r="N17" s="42"/>
    </row>
    <row r="18" spans="1:14" ht="19.5" customHeight="1">
      <c r="A18" s="253"/>
      <c r="B18" s="31" t="s">
        <v>24</v>
      </c>
      <c r="J18" s="34"/>
      <c r="K18" s="34"/>
      <c r="L18" s="34"/>
      <c r="M18" s="34"/>
      <c r="N18" s="58" t="s">
        <v>134</v>
      </c>
    </row>
    <row r="19" spans="1:14" ht="19.5" customHeight="1">
      <c r="A19" s="253"/>
      <c r="B19" s="31" t="s">
        <v>132</v>
      </c>
      <c r="C19" s="61">
        <v>0.08125</v>
      </c>
      <c r="D19" s="33">
        <v>74</v>
      </c>
      <c r="E19" s="33">
        <v>6</v>
      </c>
      <c r="F19" s="33">
        <v>5</v>
      </c>
      <c r="G19" s="33">
        <v>58</v>
      </c>
      <c r="H19" s="33">
        <v>147</v>
      </c>
      <c r="I19" s="33">
        <v>46</v>
      </c>
      <c r="J19" s="34"/>
      <c r="K19" s="34"/>
      <c r="L19" s="34"/>
      <c r="M19" s="34"/>
      <c r="N19" s="35" t="s">
        <v>135</v>
      </c>
    </row>
    <row r="20" spans="1:14" ht="19.5" customHeight="1">
      <c r="A20" s="253"/>
      <c r="B20" s="31" t="s">
        <v>26</v>
      </c>
      <c r="C20" s="61">
        <v>0.11944444444444445</v>
      </c>
      <c r="D20" s="33">
        <v>74</v>
      </c>
      <c r="E20" s="33">
        <v>7</v>
      </c>
      <c r="F20" s="33">
        <v>12</v>
      </c>
      <c r="G20" s="33">
        <v>125</v>
      </c>
      <c r="H20" s="33">
        <v>269</v>
      </c>
      <c r="I20" s="33">
        <v>98</v>
      </c>
      <c r="J20" s="33">
        <v>3.8</v>
      </c>
      <c r="K20" s="34"/>
      <c r="L20" s="34"/>
      <c r="M20" s="34"/>
      <c r="N20" s="35"/>
    </row>
    <row r="21" spans="1:14" ht="19.5" customHeight="1" thickBot="1">
      <c r="A21" s="254"/>
      <c r="B21" s="36" t="s">
        <v>27</v>
      </c>
      <c r="C21" s="38"/>
      <c r="D21" s="38"/>
      <c r="E21" s="38"/>
      <c r="F21" s="38"/>
      <c r="G21" s="38"/>
      <c r="H21" s="38"/>
      <c r="I21" s="39"/>
      <c r="J21" s="39"/>
      <c r="K21" s="40"/>
      <c r="L21" s="40" t="s">
        <v>20</v>
      </c>
      <c r="M21" s="40" t="s">
        <v>20</v>
      </c>
      <c r="N21" s="41"/>
    </row>
    <row r="22" spans="1:14" ht="19.5" customHeight="1" thickTop="1">
      <c r="A22" s="252" t="s">
        <v>73</v>
      </c>
      <c r="B22" s="24" t="s">
        <v>22</v>
      </c>
      <c r="C22" s="26"/>
      <c r="D22" s="26"/>
      <c r="E22" s="26"/>
      <c r="F22" s="26"/>
      <c r="G22" s="26"/>
      <c r="H22" s="26"/>
      <c r="I22" s="27"/>
      <c r="J22" s="27"/>
      <c r="K22" s="26"/>
      <c r="L22" s="26"/>
      <c r="M22" s="26"/>
      <c r="N22" s="42"/>
    </row>
    <row r="23" spans="1:14" ht="19.5" customHeight="1">
      <c r="A23" s="253"/>
      <c r="B23" s="31" t="s">
        <v>35</v>
      </c>
      <c r="C23" s="61">
        <v>0.14930555555555555</v>
      </c>
      <c r="D23" s="33"/>
      <c r="E23" s="33"/>
      <c r="F23" s="33"/>
      <c r="G23" s="33"/>
      <c r="H23" s="33"/>
      <c r="I23" s="34"/>
      <c r="J23" s="34"/>
      <c r="K23" s="34"/>
      <c r="L23" s="34"/>
      <c r="M23" s="34"/>
      <c r="N23" s="58" t="s">
        <v>136</v>
      </c>
    </row>
    <row r="24" spans="1:14" ht="19.5" customHeight="1">
      <c r="A24" s="253"/>
      <c r="B24" s="31" t="s">
        <v>36</v>
      </c>
      <c r="C24" s="61">
        <v>0.16319444444444445</v>
      </c>
      <c r="D24" s="33"/>
      <c r="E24" s="33"/>
      <c r="F24" s="33"/>
      <c r="G24" s="33"/>
      <c r="H24" s="33"/>
      <c r="I24" s="34"/>
      <c r="J24" s="43">
        <v>1</v>
      </c>
      <c r="K24" s="34"/>
      <c r="L24" s="34"/>
      <c r="M24" s="34"/>
      <c r="N24" s="58" t="s">
        <v>137</v>
      </c>
    </row>
    <row r="25" spans="1:14" ht="19.5" customHeight="1" thickBot="1">
      <c r="A25" s="254"/>
      <c r="B25" s="36" t="s">
        <v>27</v>
      </c>
      <c r="C25" s="38"/>
      <c r="D25" s="38"/>
      <c r="E25" s="38"/>
      <c r="F25" s="38"/>
      <c r="G25" s="38"/>
      <c r="H25" s="38"/>
      <c r="I25" s="39"/>
      <c r="J25" s="39"/>
      <c r="K25" s="40"/>
      <c r="L25" s="40" t="s">
        <v>20</v>
      </c>
      <c r="M25" s="40" t="s">
        <v>20</v>
      </c>
      <c r="N25" s="41"/>
    </row>
    <row r="26" spans="1:14" ht="19.5" customHeight="1" thickTop="1">
      <c r="A26" s="255" t="s">
        <v>28</v>
      </c>
      <c r="B26" s="24" t="s">
        <v>22</v>
      </c>
      <c r="C26" s="55">
        <v>0.1763888888888889</v>
      </c>
      <c r="D26" s="26">
        <v>59</v>
      </c>
      <c r="E26" s="26">
        <v>7</v>
      </c>
      <c r="F26" s="26">
        <v>3</v>
      </c>
      <c r="G26" s="26">
        <v>27</v>
      </c>
      <c r="H26" s="26">
        <v>91</v>
      </c>
      <c r="I26" s="27"/>
      <c r="J26" s="27"/>
      <c r="K26" s="26">
        <v>171.3</v>
      </c>
      <c r="L26" s="26">
        <v>3.2</v>
      </c>
      <c r="M26" s="26">
        <v>2.9</v>
      </c>
      <c r="N26" s="42"/>
    </row>
    <row r="27" spans="1:14" ht="19.5" customHeight="1">
      <c r="A27" s="253"/>
      <c r="B27" s="31" t="s">
        <v>24</v>
      </c>
      <c r="C27" s="130">
        <f>C26</f>
        <v>0.1763888888888889</v>
      </c>
      <c r="D27" s="33"/>
      <c r="E27" s="33"/>
      <c r="F27" s="127">
        <f>F26</f>
        <v>3</v>
      </c>
      <c r="G27" s="33"/>
      <c r="H27" s="127">
        <f>H26</f>
        <v>91</v>
      </c>
      <c r="I27" s="33"/>
      <c r="J27" s="34"/>
      <c r="K27" s="34"/>
      <c r="L27" s="34"/>
      <c r="M27" s="34"/>
      <c r="N27" s="58" t="s">
        <v>138</v>
      </c>
    </row>
    <row r="28" spans="1:14" ht="19.5" customHeight="1">
      <c r="A28" s="253"/>
      <c r="B28" s="31" t="s">
        <v>26</v>
      </c>
      <c r="C28" s="61">
        <v>0.2034722222222222</v>
      </c>
      <c r="D28" s="33">
        <v>59</v>
      </c>
      <c r="E28" s="33">
        <v>8</v>
      </c>
      <c r="F28" s="33">
        <v>10</v>
      </c>
      <c r="G28" s="33">
        <v>101</v>
      </c>
      <c r="H28" s="33">
        <v>237</v>
      </c>
      <c r="I28" s="33">
        <v>89</v>
      </c>
      <c r="J28" s="33">
        <v>11</v>
      </c>
      <c r="K28" s="34"/>
      <c r="L28" s="34"/>
      <c r="M28" s="34"/>
      <c r="N28" s="35"/>
    </row>
    <row r="29" spans="1:14" ht="19.5" customHeight="1" thickBot="1">
      <c r="A29" s="254"/>
      <c r="B29" s="36" t="s">
        <v>27</v>
      </c>
      <c r="C29" s="161">
        <f>C28</f>
        <v>0.2034722222222222</v>
      </c>
      <c r="D29" s="38"/>
      <c r="E29" s="38"/>
      <c r="F29" s="129">
        <f>F28</f>
        <v>10</v>
      </c>
      <c r="G29" s="38"/>
      <c r="H29" s="129">
        <f>H28</f>
        <v>237</v>
      </c>
      <c r="I29" s="39"/>
      <c r="J29" s="39"/>
      <c r="K29" s="156">
        <f>K26</f>
        <v>171.3</v>
      </c>
      <c r="L29" s="40" t="s">
        <v>20</v>
      </c>
      <c r="M29" s="40" t="s">
        <v>20</v>
      </c>
      <c r="N29" s="41"/>
    </row>
    <row r="30" spans="1:14" ht="19.5" customHeight="1" thickTop="1">
      <c r="A30" s="238" t="s">
        <v>21</v>
      </c>
      <c r="B30" s="24" t="s">
        <v>22</v>
      </c>
      <c r="C30" s="61">
        <v>0.22777777777777777</v>
      </c>
      <c r="D30" s="33">
        <v>64</v>
      </c>
      <c r="E30" s="33">
        <v>8</v>
      </c>
      <c r="F30" s="33">
        <v>6</v>
      </c>
      <c r="G30" s="33">
        <v>47</v>
      </c>
      <c r="H30" s="33">
        <v>149</v>
      </c>
      <c r="I30" s="27"/>
      <c r="J30" s="27"/>
      <c r="K30" s="26">
        <v>197.8</v>
      </c>
      <c r="L30" s="26"/>
      <c r="M30" s="26"/>
      <c r="N30" s="42"/>
    </row>
    <row r="31" spans="1:14" ht="19.5" customHeight="1">
      <c r="A31" s="253"/>
      <c r="B31" s="31" t="s">
        <v>24</v>
      </c>
      <c r="C31" s="130">
        <f>C30</f>
        <v>0.22777777777777777</v>
      </c>
      <c r="D31" s="33"/>
      <c r="E31" s="33"/>
      <c r="F31" s="127">
        <f>F30</f>
        <v>6</v>
      </c>
      <c r="G31" s="33"/>
      <c r="H31" s="127">
        <f>H30</f>
        <v>149</v>
      </c>
      <c r="I31" s="33">
        <v>56</v>
      </c>
      <c r="J31" s="34"/>
      <c r="K31" s="34"/>
      <c r="L31" s="34"/>
      <c r="M31" s="34"/>
      <c r="N31" s="58" t="s">
        <v>139</v>
      </c>
    </row>
    <row r="32" spans="1:14" ht="19.5" customHeight="1">
      <c r="A32" s="253"/>
      <c r="B32" s="31" t="s">
        <v>26</v>
      </c>
      <c r="C32" s="119">
        <v>0.2611111111111111</v>
      </c>
      <c r="D32" s="33">
        <v>64</v>
      </c>
      <c r="E32" s="33">
        <v>8</v>
      </c>
      <c r="F32" s="33">
        <v>12</v>
      </c>
      <c r="G32" s="33">
        <v>97</v>
      </c>
      <c r="H32" s="33">
        <v>271</v>
      </c>
      <c r="I32" s="33">
        <v>98</v>
      </c>
      <c r="J32" s="33">
        <v>11.11</v>
      </c>
      <c r="K32" s="34"/>
      <c r="L32" s="34"/>
      <c r="M32" s="34"/>
      <c r="N32" s="35"/>
    </row>
    <row r="33" spans="1:14" ht="19.5" customHeight="1" thickBot="1">
      <c r="A33" s="254"/>
      <c r="B33" s="36" t="s">
        <v>27</v>
      </c>
      <c r="C33" s="38"/>
      <c r="D33" s="38"/>
      <c r="E33" s="38"/>
      <c r="F33" s="38"/>
      <c r="G33" s="38"/>
      <c r="H33" s="38"/>
      <c r="I33" s="39"/>
      <c r="J33" s="39"/>
      <c r="K33" s="40"/>
      <c r="L33" s="40" t="s">
        <v>20</v>
      </c>
      <c r="M33" s="40" t="s">
        <v>20</v>
      </c>
      <c r="N33" s="41"/>
    </row>
    <row r="34" spans="1:14" ht="19.5" customHeight="1" thickBot="1" thickTop="1">
      <c r="A34" s="45"/>
      <c r="B34" s="17" t="s">
        <v>19</v>
      </c>
      <c r="C34" s="64">
        <v>0.29930555555555555</v>
      </c>
      <c r="D34" s="19">
        <v>65</v>
      </c>
      <c r="E34" s="19">
        <v>7</v>
      </c>
      <c r="F34" s="19">
        <v>4</v>
      </c>
      <c r="G34" s="19">
        <v>21</v>
      </c>
      <c r="H34" s="19">
        <v>104</v>
      </c>
      <c r="I34" s="20"/>
      <c r="J34" s="20"/>
      <c r="K34" s="21">
        <v>238.8</v>
      </c>
      <c r="L34" s="21">
        <v>3.2</v>
      </c>
      <c r="M34" s="21">
        <v>2.9</v>
      </c>
      <c r="N34" s="23"/>
    </row>
    <row r="35" ht="13.5" thickTop="1"/>
  </sheetData>
  <sheetProtection/>
  <mergeCells count="9">
    <mergeCell ref="A26:A29"/>
    <mergeCell ref="A4:A7"/>
    <mergeCell ref="A30:A33"/>
    <mergeCell ref="L1:M1"/>
    <mergeCell ref="A8:A12"/>
    <mergeCell ref="A13:A16"/>
    <mergeCell ref="A17:A21"/>
    <mergeCell ref="A22:A25"/>
    <mergeCell ref="I1:J1"/>
  </mergeCells>
  <printOptions/>
  <pageMargins left="0.7" right="0.4" top="0.75" bottom="0.5" header="0.5" footer="0.25"/>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1:N38"/>
  <sheetViews>
    <sheetView workbookViewId="0" topLeftCell="A1">
      <selection activeCell="A1" sqref="A1"/>
    </sheetView>
  </sheetViews>
  <sheetFormatPr defaultColWidth="9.140625" defaultRowHeight="12.75"/>
  <cols>
    <col min="1" max="1" width="4.7109375" style="0" customWidth="1"/>
    <col min="2" max="2" width="10.7109375" style="0" customWidth="1"/>
    <col min="3" max="4" width="6.7109375" style="0" customWidth="1"/>
    <col min="5" max="13" width="5.7109375" style="0" customWidth="1"/>
    <col min="14" max="14" width="14.7109375" style="0" customWidth="1"/>
    <col min="15" max="16384" width="8.8515625" style="0" customWidth="1"/>
  </cols>
  <sheetData>
    <row r="1" spans="1:14" ht="12.75">
      <c r="A1" s="1" t="s">
        <v>143</v>
      </c>
      <c r="B1" s="2"/>
      <c r="C1" s="3"/>
      <c r="D1" s="120" t="s">
        <v>0</v>
      </c>
      <c r="E1" s="121" t="s">
        <v>1</v>
      </c>
      <c r="F1" s="121" t="s">
        <v>2</v>
      </c>
      <c r="G1" s="121"/>
      <c r="H1" s="3"/>
      <c r="I1" s="266" t="s">
        <v>3</v>
      </c>
      <c r="J1" s="267"/>
      <c r="K1" s="3" t="s">
        <v>4</v>
      </c>
      <c r="L1" s="265" t="s">
        <v>5</v>
      </c>
      <c r="M1" s="265"/>
      <c r="N1" s="122" t="s">
        <v>6</v>
      </c>
    </row>
    <row r="2" spans="1:14" ht="13.5" thickBot="1">
      <c r="A2" s="7"/>
      <c r="B2" s="46" t="s">
        <v>7</v>
      </c>
      <c r="C2" s="47" t="s">
        <v>8</v>
      </c>
      <c r="D2" s="123" t="s">
        <v>9</v>
      </c>
      <c r="E2" s="123" t="s">
        <v>10</v>
      </c>
      <c r="F2" s="123" t="s">
        <v>10</v>
      </c>
      <c r="G2" s="123" t="s">
        <v>11</v>
      </c>
      <c r="H2" s="47" t="s">
        <v>12</v>
      </c>
      <c r="I2" s="124" t="s">
        <v>2</v>
      </c>
      <c r="J2" s="124" t="s">
        <v>13</v>
      </c>
      <c r="K2" s="48" t="s">
        <v>14</v>
      </c>
      <c r="L2" s="123" t="s">
        <v>15</v>
      </c>
      <c r="M2" s="123" t="s">
        <v>16</v>
      </c>
      <c r="N2" s="125" t="s">
        <v>17</v>
      </c>
    </row>
    <row r="3" spans="1:14" ht="19.5" customHeight="1" thickBot="1" thickTop="1">
      <c r="A3" s="16"/>
      <c r="B3" s="17" t="s">
        <v>19</v>
      </c>
      <c r="C3" s="64">
        <v>0.4291666666666667</v>
      </c>
      <c r="D3" s="19">
        <v>62</v>
      </c>
      <c r="E3" s="19">
        <v>5</v>
      </c>
      <c r="F3" s="19">
        <v>10</v>
      </c>
      <c r="G3" s="19">
        <v>71</v>
      </c>
      <c r="H3" s="19"/>
      <c r="I3" s="20"/>
      <c r="J3" s="20"/>
      <c r="K3" s="21">
        <v>0</v>
      </c>
      <c r="L3" s="22" t="s">
        <v>20</v>
      </c>
      <c r="M3" s="22" t="s">
        <v>20</v>
      </c>
      <c r="N3" s="23"/>
    </row>
    <row r="4" spans="1:14" ht="19.5" customHeight="1" thickTop="1">
      <c r="A4" s="255" t="s">
        <v>21</v>
      </c>
      <c r="B4" s="24" t="s">
        <v>22</v>
      </c>
      <c r="C4" s="55">
        <v>0.46319444444444446</v>
      </c>
      <c r="D4" s="26">
        <v>61</v>
      </c>
      <c r="E4" s="26">
        <v>5</v>
      </c>
      <c r="F4" s="26">
        <v>6</v>
      </c>
      <c r="G4" s="26">
        <v>48</v>
      </c>
      <c r="H4" s="26"/>
      <c r="I4" s="27"/>
      <c r="J4" s="27"/>
      <c r="K4" s="26">
        <v>29.6</v>
      </c>
      <c r="L4" s="26"/>
      <c r="M4" s="26"/>
      <c r="N4" s="28"/>
    </row>
    <row r="5" spans="1:14" ht="19.5" customHeight="1">
      <c r="A5" s="253"/>
      <c r="B5" s="31" t="s">
        <v>24</v>
      </c>
      <c r="C5" s="61">
        <v>0.47222222222222227</v>
      </c>
      <c r="D5" s="33"/>
      <c r="E5" s="33"/>
      <c r="F5" s="127">
        <f>F4</f>
        <v>6</v>
      </c>
      <c r="G5" s="33"/>
      <c r="H5" s="33"/>
      <c r="I5" s="33">
        <v>57</v>
      </c>
      <c r="J5" s="34"/>
      <c r="K5" s="34"/>
      <c r="L5" s="34"/>
      <c r="M5" s="34"/>
      <c r="N5" s="35"/>
    </row>
    <row r="6" spans="1:14" ht="19.5" customHeight="1">
      <c r="A6" s="253"/>
      <c r="B6" s="31" t="s">
        <v>26</v>
      </c>
      <c r="C6" s="61">
        <v>0.49513888888888885</v>
      </c>
      <c r="D6" s="33">
        <v>61</v>
      </c>
      <c r="E6" s="33">
        <v>5</v>
      </c>
      <c r="F6" s="33">
        <v>11</v>
      </c>
      <c r="G6" s="33">
        <v>98</v>
      </c>
      <c r="H6" s="33"/>
      <c r="I6" s="33">
        <v>98</v>
      </c>
      <c r="J6" s="33">
        <v>8.45</v>
      </c>
      <c r="K6" s="34"/>
      <c r="L6" s="34"/>
      <c r="M6" s="34"/>
      <c r="N6" s="35" t="s">
        <v>141</v>
      </c>
    </row>
    <row r="7" spans="1:14" ht="19.5" customHeight="1" thickBot="1">
      <c r="A7" s="254"/>
      <c r="B7" s="36" t="s">
        <v>27</v>
      </c>
      <c r="C7" s="57">
        <v>0.4979166666666666</v>
      </c>
      <c r="D7" s="38">
        <v>61</v>
      </c>
      <c r="E7" s="38">
        <v>5</v>
      </c>
      <c r="F7" s="38">
        <v>11</v>
      </c>
      <c r="G7" s="38">
        <v>98</v>
      </c>
      <c r="H7" s="38"/>
      <c r="I7" s="39"/>
      <c r="J7" s="39"/>
      <c r="K7" s="40">
        <v>29.6</v>
      </c>
      <c r="L7" s="40" t="s">
        <v>20</v>
      </c>
      <c r="M7" s="40" t="s">
        <v>20</v>
      </c>
      <c r="N7" s="41"/>
    </row>
    <row r="8" spans="1:14" ht="19.5" customHeight="1" thickTop="1">
      <c r="A8" s="255" t="s">
        <v>28</v>
      </c>
      <c r="B8" s="24" t="s">
        <v>22</v>
      </c>
      <c r="C8" s="55">
        <v>0.5208333333333334</v>
      </c>
      <c r="D8" s="26">
        <v>60</v>
      </c>
      <c r="E8" s="26">
        <v>5</v>
      </c>
      <c r="F8" s="26">
        <v>6</v>
      </c>
      <c r="G8" s="26">
        <v>43</v>
      </c>
      <c r="H8" s="26"/>
      <c r="I8" s="27"/>
      <c r="J8" s="27"/>
      <c r="K8" s="26">
        <v>56.1</v>
      </c>
      <c r="L8" s="26">
        <v>4.4</v>
      </c>
      <c r="M8" s="26"/>
      <c r="N8" s="42"/>
    </row>
    <row r="9" spans="1:14" ht="19.5" customHeight="1">
      <c r="A9" s="253"/>
      <c r="B9" s="31" t="s">
        <v>24</v>
      </c>
      <c r="C9" s="61">
        <v>0.5243055555555556</v>
      </c>
      <c r="D9" s="33">
        <v>60</v>
      </c>
      <c r="E9" s="33">
        <v>5</v>
      </c>
      <c r="F9" s="33">
        <v>6</v>
      </c>
      <c r="G9" s="33">
        <v>43</v>
      </c>
      <c r="H9" s="33"/>
      <c r="I9" s="33"/>
      <c r="J9" s="34"/>
      <c r="K9" s="34"/>
      <c r="L9" s="34"/>
      <c r="M9" s="34"/>
      <c r="N9" s="35"/>
    </row>
    <row r="10" spans="1:14" ht="19.5" customHeight="1">
      <c r="A10" s="253"/>
      <c r="B10" s="31" t="s">
        <v>26</v>
      </c>
      <c r="C10" s="61">
        <v>0.0763888888888889</v>
      </c>
      <c r="D10" s="33">
        <v>60</v>
      </c>
      <c r="E10" s="33">
        <v>6</v>
      </c>
      <c r="F10" s="33">
        <v>11</v>
      </c>
      <c r="G10" s="33">
        <v>73</v>
      </c>
      <c r="H10" s="33"/>
      <c r="I10" s="33">
        <v>98</v>
      </c>
      <c r="J10" s="33">
        <v>7.8</v>
      </c>
      <c r="K10" s="34"/>
      <c r="L10" s="34"/>
      <c r="M10" s="34"/>
      <c r="N10" s="35"/>
    </row>
    <row r="11" spans="1:14" ht="19.5" customHeight="1" thickBot="1">
      <c r="A11" s="254"/>
      <c r="B11" s="36" t="s">
        <v>27</v>
      </c>
      <c r="C11" s="57">
        <v>0.07916666666666666</v>
      </c>
      <c r="D11" s="38">
        <v>60</v>
      </c>
      <c r="E11" s="38">
        <v>6</v>
      </c>
      <c r="F11" s="38">
        <v>11</v>
      </c>
      <c r="G11" s="38">
        <v>73</v>
      </c>
      <c r="H11" s="38"/>
      <c r="I11" s="39"/>
      <c r="J11" s="39"/>
      <c r="K11" s="40">
        <v>56.1</v>
      </c>
      <c r="L11" s="40" t="s">
        <v>20</v>
      </c>
      <c r="M11" s="40" t="s">
        <v>20</v>
      </c>
      <c r="N11" s="41"/>
    </row>
    <row r="12" spans="1:14" ht="19.5" customHeight="1" thickTop="1">
      <c r="A12" s="255" t="s">
        <v>30</v>
      </c>
      <c r="B12" s="24" t="s">
        <v>22</v>
      </c>
      <c r="C12" s="55">
        <v>0.13819444444444443</v>
      </c>
      <c r="D12" s="26">
        <v>75</v>
      </c>
      <c r="E12" s="26">
        <v>6</v>
      </c>
      <c r="F12" s="26">
        <v>4</v>
      </c>
      <c r="G12" s="26"/>
      <c r="H12" s="26"/>
      <c r="I12" s="27"/>
      <c r="J12" s="27"/>
      <c r="K12" s="26">
        <v>110</v>
      </c>
      <c r="L12" s="26">
        <v>4.4</v>
      </c>
      <c r="M12" s="26"/>
      <c r="N12" s="42"/>
    </row>
    <row r="13" spans="1:14" ht="19.5" customHeight="1">
      <c r="A13" s="253"/>
      <c r="B13" s="31" t="s">
        <v>24</v>
      </c>
      <c r="C13" s="61">
        <v>0.14166666666666666</v>
      </c>
      <c r="D13" s="33">
        <v>75</v>
      </c>
      <c r="E13" s="33">
        <v>6</v>
      </c>
      <c r="F13" s="33">
        <v>4</v>
      </c>
      <c r="G13" s="33">
        <v>30</v>
      </c>
      <c r="H13" s="33"/>
      <c r="I13" s="33">
        <v>43</v>
      </c>
      <c r="J13" s="34"/>
      <c r="K13" s="34"/>
      <c r="L13" s="34"/>
      <c r="M13" s="34"/>
      <c r="N13" s="35"/>
    </row>
    <row r="14" spans="1:14" ht="19.5" customHeight="1">
      <c r="A14" s="253"/>
      <c r="B14" s="31" t="s">
        <v>26</v>
      </c>
      <c r="C14" s="61">
        <v>0.15208333333333332</v>
      </c>
      <c r="D14" s="33">
        <v>76</v>
      </c>
      <c r="E14" s="33">
        <v>6</v>
      </c>
      <c r="F14" s="33">
        <v>9</v>
      </c>
      <c r="G14" s="33">
        <v>101</v>
      </c>
      <c r="H14" s="33"/>
      <c r="I14" s="33">
        <v>88</v>
      </c>
      <c r="J14" s="33">
        <v>9.54</v>
      </c>
      <c r="K14" s="34"/>
      <c r="L14" s="34"/>
      <c r="M14" s="34"/>
      <c r="N14" s="35"/>
    </row>
    <row r="15" spans="1:14" ht="19.5" customHeight="1" thickBot="1">
      <c r="A15" s="254"/>
      <c r="B15" s="36" t="s">
        <v>27</v>
      </c>
      <c r="C15" s="57">
        <v>0.15208333333333332</v>
      </c>
      <c r="D15" s="38">
        <v>76</v>
      </c>
      <c r="E15" s="38">
        <v>6</v>
      </c>
      <c r="F15" s="38">
        <v>9</v>
      </c>
      <c r="G15" s="38">
        <v>101</v>
      </c>
      <c r="H15" s="38"/>
      <c r="I15" s="39"/>
      <c r="J15" s="39"/>
      <c r="K15" s="40">
        <v>110</v>
      </c>
      <c r="L15" s="40" t="s">
        <v>20</v>
      </c>
      <c r="M15" s="40" t="s">
        <v>20</v>
      </c>
      <c r="N15" s="41"/>
    </row>
    <row r="16" spans="1:14" ht="19.5" customHeight="1" thickTop="1">
      <c r="A16" s="252" t="s">
        <v>33</v>
      </c>
      <c r="B16" s="24" t="s">
        <v>22</v>
      </c>
      <c r="C16" s="26"/>
      <c r="D16" s="26"/>
      <c r="E16" s="26"/>
      <c r="F16" s="26"/>
      <c r="G16" s="26"/>
      <c r="H16" s="26"/>
      <c r="I16" s="27"/>
      <c r="J16" s="27"/>
      <c r="K16" s="26"/>
      <c r="L16" s="26"/>
      <c r="M16" s="26"/>
      <c r="N16" s="42"/>
    </row>
    <row r="17" spans="1:14" ht="19.5" customHeight="1">
      <c r="A17" s="253"/>
      <c r="B17" s="31" t="s">
        <v>35</v>
      </c>
      <c r="C17" s="33"/>
      <c r="D17" s="33"/>
      <c r="E17" s="33"/>
      <c r="F17" s="33"/>
      <c r="G17" s="33"/>
      <c r="H17" s="33"/>
      <c r="I17" s="34"/>
      <c r="J17" s="34"/>
      <c r="K17" s="34"/>
      <c r="L17" s="34"/>
      <c r="M17" s="34"/>
      <c r="N17" s="35"/>
    </row>
    <row r="18" spans="1:14" ht="19.5" customHeight="1">
      <c r="A18" s="253"/>
      <c r="B18" s="31" t="s">
        <v>36</v>
      </c>
      <c r="C18" s="33"/>
      <c r="D18" s="33"/>
      <c r="E18" s="33"/>
      <c r="F18" s="33"/>
      <c r="G18" s="33"/>
      <c r="H18" s="33"/>
      <c r="I18" s="34"/>
      <c r="J18" s="43"/>
      <c r="K18" s="34"/>
      <c r="L18" s="34"/>
      <c r="M18" s="34"/>
      <c r="N18" s="35"/>
    </row>
    <row r="19" spans="1:14" ht="19.5" customHeight="1" thickBot="1">
      <c r="A19" s="254"/>
      <c r="B19" s="36" t="s">
        <v>27</v>
      </c>
      <c r="C19" s="38"/>
      <c r="D19" s="38"/>
      <c r="E19" s="38"/>
      <c r="F19" s="38"/>
      <c r="G19" s="38"/>
      <c r="H19" s="38"/>
      <c r="I19" s="39"/>
      <c r="J19" s="39"/>
      <c r="K19" s="40"/>
      <c r="L19" s="40" t="s">
        <v>20</v>
      </c>
      <c r="M19" s="40" t="s">
        <v>20</v>
      </c>
      <c r="N19" s="41"/>
    </row>
    <row r="20" spans="1:14" ht="13.5" thickTop="1">
      <c r="A20" s="1"/>
      <c r="B20" s="2"/>
      <c r="C20" s="3"/>
      <c r="D20" s="120" t="s">
        <v>0</v>
      </c>
      <c r="E20" s="121" t="s">
        <v>1</v>
      </c>
      <c r="F20" s="121" t="s">
        <v>2</v>
      </c>
      <c r="G20" s="121"/>
      <c r="H20" s="3"/>
      <c r="I20" s="266" t="s">
        <v>3</v>
      </c>
      <c r="J20" s="267"/>
      <c r="K20" s="3" t="s">
        <v>4</v>
      </c>
      <c r="L20" s="265" t="s">
        <v>5</v>
      </c>
      <c r="M20" s="265"/>
      <c r="N20" s="84" t="s">
        <v>6</v>
      </c>
    </row>
    <row r="21" spans="1:14" ht="13.5" thickBot="1">
      <c r="A21" s="7"/>
      <c r="B21" s="46" t="s">
        <v>7</v>
      </c>
      <c r="C21" s="47" t="s">
        <v>8</v>
      </c>
      <c r="D21" s="123" t="s">
        <v>9</v>
      </c>
      <c r="E21" s="123" t="s">
        <v>10</v>
      </c>
      <c r="F21" s="123" t="s">
        <v>10</v>
      </c>
      <c r="G21" s="123" t="s">
        <v>11</v>
      </c>
      <c r="H21" s="47" t="s">
        <v>12</v>
      </c>
      <c r="I21" s="124" t="s">
        <v>2</v>
      </c>
      <c r="J21" s="124" t="s">
        <v>13</v>
      </c>
      <c r="K21" s="48" t="s">
        <v>14</v>
      </c>
      <c r="L21" s="123" t="s">
        <v>15</v>
      </c>
      <c r="M21" s="123" t="s">
        <v>16</v>
      </c>
      <c r="N21" s="125" t="s">
        <v>17</v>
      </c>
    </row>
    <row r="22" spans="1:14" ht="19.5" customHeight="1" thickTop="1">
      <c r="A22" s="252" t="s">
        <v>37</v>
      </c>
      <c r="B22" s="24" t="s">
        <v>22</v>
      </c>
      <c r="C22" s="55"/>
      <c r="D22" s="26"/>
      <c r="E22" s="26"/>
      <c r="F22" s="26"/>
      <c r="G22" s="26"/>
      <c r="H22" s="26"/>
      <c r="I22" s="27"/>
      <c r="J22" s="27"/>
      <c r="K22" s="26">
        <v>130</v>
      </c>
      <c r="L22" s="26">
        <v>4.5</v>
      </c>
      <c r="M22" s="26"/>
      <c r="N22" s="42"/>
    </row>
    <row r="23" spans="1:14" ht="19.5" customHeight="1">
      <c r="A23" s="253"/>
      <c r="B23" s="31" t="s">
        <v>35</v>
      </c>
      <c r="C23" s="61">
        <v>0.21805555555555556</v>
      </c>
      <c r="D23" s="33">
        <v>75</v>
      </c>
      <c r="E23" s="33">
        <v>6</v>
      </c>
      <c r="F23" s="33">
        <v>5</v>
      </c>
      <c r="G23" s="33" t="s">
        <v>53</v>
      </c>
      <c r="H23" s="33"/>
      <c r="I23" s="33" t="s">
        <v>53</v>
      </c>
      <c r="J23" s="34"/>
      <c r="K23" s="34"/>
      <c r="L23" s="34"/>
      <c r="M23" s="34"/>
      <c r="N23" s="35"/>
    </row>
    <row r="24" spans="1:14" ht="19.5" customHeight="1">
      <c r="A24" s="253"/>
      <c r="B24" s="31" t="s">
        <v>36</v>
      </c>
      <c r="C24" s="61">
        <v>0.2388888888888889</v>
      </c>
      <c r="D24" s="33">
        <v>75</v>
      </c>
      <c r="E24" s="33">
        <v>6</v>
      </c>
      <c r="F24" s="33">
        <v>9</v>
      </c>
      <c r="G24" s="33">
        <v>101</v>
      </c>
      <c r="H24" s="33"/>
      <c r="I24" s="33" t="s">
        <v>53</v>
      </c>
      <c r="J24" s="33">
        <v>7.4</v>
      </c>
      <c r="K24" s="34"/>
      <c r="L24" s="34"/>
      <c r="M24" s="34"/>
      <c r="N24" s="35"/>
    </row>
    <row r="25" spans="1:14" ht="19.5" customHeight="1" thickBot="1">
      <c r="A25" s="254"/>
      <c r="B25" s="36" t="s">
        <v>27</v>
      </c>
      <c r="C25" s="57">
        <v>0.2423611111111111</v>
      </c>
      <c r="D25" s="38">
        <v>75</v>
      </c>
      <c r="E25" s="38">
        <v>6</v>
      </c>
      <c r="F25" s="38">
        <v>9</v>
      </c>
      <c r="G25" s="38">
        <v>101</v>
      </c>
      <c r="H25" s="38"/>
      <c r="I25" s="39"/>
      <c r="J25" s="39"/>
      <c r="K25" s="40">
        <v>130</v>
      </c>
      <c r="L25" s="40" t="s">
        <v>20</v>
      </c>
      <c r="M25" s="40" t="s">
        <v>20</v>
      </c>
      <c r="N25" s="41"/>
    </row>
    <row r="26" spans="1:14" ht="19.5" customHeight="1" thickTop="1">
      <c r="A26" s="255" t="s">
        <v>30</v>
      </c>
      <c r="B26" s="24" t="s">
        <v>22</v>
      </c>
      <c r="C26" s="55">
        <v>0.2722222222222222</v>
      </c>
      <c r="D26" s="26">
        <v>76</v>
      </c>
      <c r="E26" s="26">
        <v>6</v>
      </c>
      <c r="F26" s="26">
        <v>7</v>
      </c>
      <c r="G26" s="26"/>
      <c r="H26" s="26"/>
      <c r="I26" s="27"/>
      <c r="J26" s="27"/>
      <c r="K26" s="26">
        <v>154</v>
      </c>
      <c r="L26" s="26">
        <v>4.5</v>
      </c>
      <c r="M26" s="26"/>
      <c r="N26" s="42" t="s">
        <v>142</v>
      </c>
    </row>
    <row r="27" spans="1:14" ht="19.5" customHeight="1">
      <c r="A27" s="253"/>
      <c r="B27" s="31" t="s">
        <v>24</v>
      </c>
      <c r="C27" s="61">
        <v>0.2722222222222222</v>
      </c>
      <c r="D27" s="33">
        <v>76</v>
      </c>
      <c r="E27" s="33">
        <v>6</v>
      </c>
      <c r="F27" s="33">
        <v>7</v>
      </c>
      <c r="G27" s="33"/>
      <c r="H27" s="33"/>
      <c r="I27" s="33">
        <v>65</v>
      </c>
      <c r="J27" s="34"/>
      <c r="K27" s="34"/>
      <c r="L27" s="34"/>
      <c r="M27" s="34"/>
      <c r="N27" s="35"/>
    </row>
    <row r="28" spans="1:14" ht="19.5" customHeight="1">
      <c r="A28" s="253"/>
      <c r="B28" s="31" t="s">
        <v>26</v>
      </c>
      <c r="C28" s="61">
        <v>0.28125</v>
      </c>
      <c r="D28" s="33">
        <v>76</v>
      </c>
      <c r="E28" s="33">
        <v>7</v>
      </c>
      <c r="F28" s="33">
        <v>10</v>
      </c>
      <c r="G28" s="33"/>
      <c r="H28" s="33"/>
      <c r="I28" s="33">
        <v>95</v>
      </c>
      <c r="J28" s="33">
        <v>5.45</v>
      </c>
      <c r="K28" s="34"/>
      <c r="L28" s="34"/>
      <c r="M28" s="34"/>
      <c r="N28" s="35"/>
    </row>
    <row r="29" spans="1:14" ht="19.5" customHeight="1" thickBot="1">
      <c r="A29" s="254"/>
      <c r="B29" s="36" t="s">
        <v>27</v>
      </c>
      <c r="C29" s="57">
        <v>0.28125</v>
      </c>
      <c r="D29" s="38">
        <v>76</v>
      </c>
      <c r="E29" s="38">
        <v>7</v>
      </c>
      <c r="F29" s="38">
        <v>10</v>
      </c>
      <c r="G29" s="38">
        <v>73</v>
      </c>
      <c r="H29" s="38"/>
      <c r="I29" s="39"/>
      <c r="J29" s="39"/>
      <c r="K29" s="40">
        <v>154</v>
      </c>
      <c r="L29" s="40" t="s">
        <v>20</v>
      </c>
      <c r="M29" s="40" t="s">
        <v>20</v>
      </c>
      <c r="N29" s="41"/>
    </row>
    <row r="30" spans="1:14" ht="19.5" customHeight="1" thickTop="1">
      <c r="A30" s="255" t="s">
        <v>28</v>
      </c>
      <c r="B30" s="24" t="s">
        <v>22</v>
      </c>
      <c r="C30" s="55">
        <v>0.3347222222222222</v>
      </c>
      <c r="D30" s="26">
        <v>58</v>
      </c>
      <c r="E30" s="26">
        <v>7</v>
      </c>
      <c r="F30" s="26">
        <v>3</v>
      </c>
      <c r="G30" s="26">
        <v>23</v>
      </c>
      <c r="H30" s="26"/>
      <c r="I30" s="27"/>
      <c r="J30" s="27"/>
      <c r="K30" s="26">
        <v>205.1</v>
      </c>
      <c r="L30" s="26">
        <v>4.3</v>
      </c>
      <c r="M30" s="26"/>
      <c r="N30" s="42" t="s">
        <v>25</v>
      </c>
    </row>
    <row r="31" spans="1:14" ht="19.5" customHeight="1">
      <c r="A31" s="253"/>
      <c r="B31" s="31" t="s">
        <v>24</v>
      </c>
      <c r="C31" s="61">
        <v>0.3354166666666667</v>
      </c>
      <c r="D31" s="33">
        <v>58</v>
      </c>
      <c r="E31" s="33">
        <v>7</v>
      </c>
      <c r="F31" s="33">
        <v>3</v>
      </c>
      <c r="G31" s="33">
        <v>23</v>
      </c>
      <c r="H31" s="33"/>
      <c r="I31" s="33">
        <v>33</v>
      </c>
      <c r="J31" s="34"/>
      <c r="K31" s="34"/>
      <c r="L31" s="34"/>
      <c r="M31" s="34"/>
      <c r="N31" s="35"/>
    </row>
    <row r="32" spans="1:14" ht="19.5" customHeight="1">
      <c r="A32" s="253"/>
      <c r="B32" s="31" t="s">
        <v>26</v>
      </c>
      <c r="C32" s="61">
        <v>0.3458333333333334</v>
      </c>
      <c r="D32" s="33">
        <v>58</v>
      </c>
      <c r="E32" s="33">
        <v>6</v>
      </c>
      <c r="F32" s="33">
        <v>8</v>
      </c>
      <c r="G32" s="33">
        <v>76</v>
      </c>
      <c r="H32" s="33"/>
      <c r="I32" s="33">
        <v>75</v>
      </c>
      <c r="J32" s="33">
        <v>10</v>
      </c>
      <c r="K32" s="34"/>
      <c r="L32" s="34"/>
      <c r="M32" s="34"/>
      <c r="N32" s="35"/>
    </row>
    <row r="33" spans="1:14" ht="19.5" customHeight="1" thickBot="1">
      <c r="A33" s="254"/>
      <c r="B33" s="36" t="s">
        <v>27</v>
      </c>
      <c r="C33" s="57">
        <v>0.34791666666666665</v>
      </c>
      <c r="D33" s="38">
        <v>58</v>
      </c>
      <c r="E33" s="38">
        <v>6</v>
      </c>
      <c r="F33" s="38">
        <v>8</v>
      </c>
      <c r="G33" s="38">
        <v>76</v>
      </c>
      <c r="H33" s="38"/>
      <c r="I33" s="39"/>
      <c r="J33" s="39"/>
      <c r="K33" s="40">
        <v>205.1</v>
      </c>
      <c r="L33" s="40" t="s">
        <v>20</v>
      </c>
      <c r="M33" s="40" t="s">
        <v>20</v>
      </c>
      <c r="N33" s="41"/>
    </row>
    <row r="34" spans="1:14" ht="19.5" customHeight="1" thickTop="1">
      <c r="A34" s="255" t="s">
        <v>21</v>
      </c>
      <c r="B34" s="24" t="s">
        <v>22</v>
      </c>
      <c r="C34" s="55">
        <v>0.37152777777777773</v>
      </c>
      <c r="D34" s="26">
        <v>61</v>
      </c>
      <c r="E34" s="26">
        <v>6</v>
      </c>
      <c r="F34" s="26">
        <v>6</v>
      </c>
      <c r="G34" s="26">
        <v>48</v>
      </c>
      <c r="H34" s="26"/>
      <c r="I34" s="27"/>
      <c r="J34" s="27"/>
      <c r="K34" s="26">
        <v>231</v>
      </c>
      <c r="L34" s="26">
        <v>4.4</v>
      </c>
      <c r="M34" s="26"/>
      <c r="N34" s="42"/>
    </row>
    <row r="35" spans="1:14" ht="19.5" customHeight="1">
      <c r="A35" s="253"/>
      <c r="B35" s="31" t="s">
        <v>24</v>
      </c>
      <c r="C35" s="61">
        <v>0.37152777777777773</v>
      </c>
      <c r="D35" s="33">
        <v>61</v>
      </c>
      <c r="E35" s="33">
        <v>6</v>
      </c>
      <c r="F35" s="33">
        <v>6</v>
      </c>
      <c r="G35" s="33">
        <v>48</v>
      </c>
      <c r="H35" s="33"/>
      <c r="I35" s="33">
        <v>54</v>
      </c>
      <c r="J35" s="34"/>
      <c r="K35" s="34"/>
      <c r="L35" s="34"/>
      <c r="M35" s="34"/>
      <c r="N35" s="35"/>
    </row>
    <row r="36" spans="1:14" ht="19.5" customHeight="1">
      <c r="A36" s="253"/>
      <c r="B36" s="31" t="s">
        <v>26</v>
      </c>
      <c r="C36" s="61">
        <v>0.3833333333333333</v>
      </c>
      <c r="D36" s="33">
        <v>61</v>
      </c>
      <c r="E36" s="33">
        <v>7</v>
      </c>
      <c r="F36" s="33">
        <v>9</v>
      </c>
      <c r="G36" s="33">
        <v>83</v>
      </c>
      <c r="H36" s="33"/>
      <c r="I36" s="33">
        <v>86</v>
      </c>
      <c r="J36" s="33">
        <v>7.6</v>
      </c>
      <c r="K36" s="34"/>
      <c r="L36" s="34"/>
      <c r="M36" s="34"/>
      <c r="N36" s="35"/>
    </row>
    <row r="37" spans="1:14" ht="19.5" customHeight="1" thickBot="1">
      <c r="A37" s="254"/>
      <c r="B37" s="36" t="s">
        <v>27</v>
      </c>
      <c r="C37" s="57">
        <v>0.3833333333333333</v>
      </c>
      <c r="D37" s="38">
        <v>61</v>
      </c>
      <c r="E37" s="38">
        <v>7</v>
      </c>
      <c r="F37" s="38">
        <v>9</v>
      </c>
      <c r="G37" s="38">
        <v>83</v>
      </c>
      <c r="H37" s="38"/>
      <c r="I37" s="39"/>
      <c r="J37" s="39"/>
      <c r="K37" s="40">
        <v>231.5</v>
      </c>
      <c r="L37" s="40" t="s">
        <v>20</v>
      </c>
      <c r="M37" s="40" t="s">
        <v>20</v>
      </c>
      <c r="N37" s="41"/>
    </row>
    <row r="38" spans="1:14" ht="19.5" customHeight="1" thickBot="1" thickTop="1">
      <c r="A38" s="45"/>
      <c r="B38" s="17" t="s">
        <v>19</v>
      </c>
      <c r="C38" s="64">
        <v>0.4173611111111111</v>
      </c>
      <c r="D38" s="19">
        <v>61</v>
      </c>
      <c r="E38" s="19">
        <v>7</v>
      </c>
      <c r="F38" s="19">
        <v>6</v>
      </c>
      <c r="G38" s="19">
        <v>42</v>
      </c>
      <c r="H38" s="19"/>
      <c r="I38" s="20"/>
      <c r="J38" s="20"/>
      <c r="K38" s="21">
        <v>260.9</v>
      </c>
      <c r="L38" s="21">
        <v>4.4</v>
      </c>
      <c r="M38" s="21"/>
      <c r="N38" s="23"/>
    </row>
    <row r="39" ht="13.5" thickTop="1"/>
  </sheetData>
  <mergeCells count="12">
    <mergeCell ref="A22:A25"/>
    <mergeCell ref="A26:A29"/>
    <mergeCell ref="A30:A33"/>
    <mergeCell ref="A34:A37"/>
    <mergeCell ref="L1:M1"/>
    <mergeCell ref="L20:M20"/>
    <mergeCell ref="A4:A7"/>
    <mergeCell ref="A8:A11"/>
    <mergeCell ref="A12:A15"/>
    <mergeCell ref="A16:A19"/>
    <mergeCell ref="I1:J1"/>
    <mergeCell ref="I20:J20"/>
  </mergeCells>
  <printOptions/>
  <pageMargins left="0.7" right="0.4" top="0.75" bottom="0.5" header="0.5" footer="0.25"/>
  <pageSetup horizontalDpi="1200" verticalDpi="1200" orientation="portrait"/>
</worksheet>
</file>

<file path=xl/worksheets/sheet16.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0.140625" defaultRowHeight="12.75"/>
  <cols>
    <col min="1" max="2" width="11.8515625" style="211" bestFit="1" customWidth="1"/>
    <col min="3" max="3" width="13.28125" style="211" bestFit="1" customWidth="1"/>
    <col min="4" max="4" width="13.00390625" style="211" bestFit="1" customWidth="1"/>
    <col min="5" max="6" width="13.28125" style="211" bestFit="1" customWidth="1"/>
    <col min="7" max="7" width="11.8515625" style="211" bestFit="1" customWidth="1"/>
    <col min="8" max="16384" width="10.140625" style="211" customWidth="1"/>
  </cols>
  <sheetData>
    <row r="1" ht="15">
      <c r="A1" s="213" t="s">
        <v>285</v>
      </c>
    </row>
    <row r="3" spans="2:7" ht="14.25">
      <c r="B3" s="211" t="s">
        <v>258</v>
      </c>
      <c r="C3" s="211" t="s">
        <v>21</v>
      </c>
      <c r="D3" s="211" t="s">
        <v>28</v>
      </c>
      <c r="E3" s="211" t="s">
        <v>73</v>
      </c>
      <c r="F3" s="211" t="s">
        <v>30</v>
      </c>
      <c r="G3" s="211" t="s">
        <v>193</v>
      </c>
    </row>
    <row r="4" ht="14.25">
      <c r="A4" s="212">
        <v>41076</v>
      </c>
    </row>
    <row r="5" spans="1:7" ht="14.25">
      <c r="A5" s="211" t="s">
        <v>259</v>
      </c>
      <c r="C5" s="211">
        <v>1240</v>
      </c>
      <c r="D5" s="211">
        <v>1400</v>
      </c>
      <c r="E5" s="211">
        <v>1536</v>
      </c>
      <c r="F5" s="211">
        <v>1620</v>
      </c>
      <c r="G5" s="211">
        <v>1740</v>
      </c>
    </row>
    <row r="6" spans="1:6" ht="14.25">
      <c r="A6" s="211" t="s">
        <v>260</v>
      </c>
      <c r="B6" s="211">
        <v>1110</v>
      </c>
      <c r="C6" s="211">
        <v>1335</v>
      </c>
      <c r="D6" s="211">
        <v>1515</v>
      </c>
      <c r="F6" s="211">
        <v>1710</v>
      </c>
    </row>
    <row r="7" spans="1:7" ht="14.25">
      <c r="A7" s="211" t="s">
        <v>261</v>
      </c>
      <c r="B7" s="211">
        <v>8044</v>
      </c>
      <c r="C7" s="211">
        <v>8080</v>
      </c>
      <c r="D7" s="211">
        <v>8107</v>
      </c>
      <c r="E7" s="211">
        <v>8123</v>
      </c>
      <c r="F7" s="211">
        <v>8158</v>
      </c>
      <c r="G7" s="211">
        <v>8181</v>
      </c>
    </row>
    <row r="8" spans="1:7" ht="14.25">
      <c r="A8" s="211" t="s">
        <v>262</v>
      </c>
      <c r="C8" s="211">
        <v>36.1</v>
      </c>
      <c r="D8" s="211">
        <v>26.4</v>
      </c>
      <c r="E8" s="211">
        <v>16.1</v>
      </c>
      <c r="F8" s="211">
        <v>51.1</v>
      </c>
      <c r="G8" s="211">
        <v>22.3</v>
      </c>
    </row>
    <row r="9" spans="1:7" ht="14.25">
      <c r="A9" s="211" t="s">
        <v>263</v>
      </c>
      <c r="C9" s="211">
        <v>6</v>
      </c>
      <c r="D9" s="211">
        <v>7</v>
      </c>
      <c r="E9" s="211">
        <v>6</v>
      </c>
      <c r="F9" s="211">
        <v>2</v>
      </c>
      <c r="G9" s="211">
        <v>7</v>
      </c>
    </row>
    <row r="10" spans="1:7" ht="14.25">
      <c r="A10" s="211" t="s">
        <v>11</v>
      </c>
      <c r="B10" s="211">
        <v>110</v>
      </c>
      <c r="C10" s="211">
        <v>49</v>
      </c>
      <c r="D10" s="211">
        <v>36</v>
      </c>
      <c r="E10" s="211">
        <v>19</v>
      </c>
      <c r="F10" s="211">
        <v>36</v>
      </c>
      <c r="G10" s="211">
        <v>55</v>
      </c>
    </row>
    <row r="11" spans="1:7" ht="14.25">
      <c r="A11" s="211" t="s">
        <v>264</v>
      </c>
      <c r="C11" s="211">
        <v>4.3</v>
      </c>
      <c r="E11" s="211">
        <v>1.4</v>
      </c>
      <c r="G11" s="211">
        <v>4.5</v>
      </c>
    </row>
    <row r="12" spans="1:6" ht="14.25">
      <c r="A12" s="211" t="s">
        <v>265</v>
      </c>
      <c r="C12" s="211">
        <v>1245</v>
      </c>
      <c r="D12" s="211">
        <v>1425</v>
      </c>
      <c r="F12" s="211">
        <v>1620</v>
      </c>
    </row>
    <row r="13" spans="1:6" ht="14.25">
      <c r="A13" s="211" t="s">
        <v>266</v>
      </c>
      <c r="C13" s="211">
        <v>1330</v>
      </c>
      <c r="D13" s="211">
        <v>1515</v>
      </c>
      <c r="F13" s="211">
        <v>1707</v>
      </c>
    </row>
    <row r="14" spans="1:6" ht="14.25">
      <c r="A14" s="211" t="s">
        <v>267</v>
      </c>
      <c r="C14" s="211">
        <v>8.4</v>
      </c>
      <c r="D14" s="211">
        <v>8.7</v>
      </c>
      <c r="F14" s="211">
        <v>12.98</v>
      </c>
    </row>
    <row r="15" spans="1:6" ht="14.25">
      <c r="A15" s="211" t="s">
        <v>268</v>
      </c>
      <c r="C15" s="211">
        <v>12</v>
      </c>
      <c r="D15" s="211">
        <v>12</v>
      </c>
      <c r="F15" s="211">
        <v>10</v>
      </c>
    </row>
    <row r="16" spans="1:6" ht="14.25">
      <c r="A16" s="211" t="s">
        <v>269</v>
      </c>
      <c r="C16" s="211">
        <v>101</v>
      </c>
      <c r="D16" s="211">
        <v>70</v>
      </c>
      <c r="F16" s="211">
        <v>106</v>
      </c>
    </row>
    <row r="17" spans="1:7" ht="14.25">
      <c r="A17" s="211" t="s">
        <v>270</v>
      </c>
      <c r="B17" s="211" t="s">
        <v>271</v>
      </c>
      <c r="C17" s="211" t="s">
        <v>90</v>
      </c>
      <c r="D17" s="211" t="s">
        <v>272</v>
      </c>
      <c r="E17" s="211" t="s">
        <v>273</v>
      </c>
      <c r="F17" s="211" t="s">
        <v>274</v>
      </c>
      <c r="G17" s="211" t="s">
        <v>275</v>
      </c>
    </row>
    <row r="19" spans="1:7" ht="14.25">
      <c r="A19" s="212">
        <v>41077</v>
      </c>
      <c r="B19" s="211" t="s">
        <v>193</v>
      </c>
      <c r="C19" s="211" t="s">
        <v>30</v>
      </c>
      <c r="D19" s="211" t="s">
        <v>73</v>
      </c>
      <c r="E19" s="211" t="s">
        <v>28</v>
      </c>
      <c r="F19" s="211" t="s">
        <v>21</v>
      </c>
      <c r="G19" s="211" t="s">
        <v>258</v>
      </c>
    </row>
    <row r="20" spans="1:7" ht="14.25">
      <c r="A20" s="211" t="s">
        <v>259</v>
      </c>
      <c r="C20" s="211">
        <v>950</v>
      </c>
      <c r="D20" s="211" t="s">
        <v>276</v>
      </c>
      <c r="E20" s="211">
        <v>1218</v>
      </c>
      <c r="F20" s="211">
        <v>1340</v>
      </c>
      <c r="G20" s="211">
        <v>1515</v>
      </c>
    </row>
    <row r="21" spans="1:6" ht="14.25">
      <c r="A21" s="211" t="s">
        <v>260</v>
      </c>
      <c r="B21" s="211">
        <v>915</v>
      </c>
      <c r="C21" s="211">
        <v>1110</v>
      </c>
      <c r="E21" s="211">
        <v>1255</v>
      </c>
      <c r="F21" s="211">
        <v>1425</v>
      </c>
    </row>
    <row r="22" spans="1:7" ht="14.25">
      <c r="A22" s="211" t="s">
        <v>261</v>
      </c>
      <c r="B22" s="211">
        <v>8181</v>
      </c>
      <c r="C22" s="211">
        <v>8204</v>
      </c>
      <c r="D22" s="211">
        <v>8239</v>
      </c>
      <c r="E22" s="211">
        <v>8255</v>
      </c>
      <c r="F22" s="211">
        <v>8282</v>
      </c>
      <c r="G22" s="211">
        <v>8315</v>
      </c>
    </row>
    <row r="23" spans="1:7" ht="14.25">
      <c r="A23" s="211" t="s">
        <v>262</v>
      </c>
      <c r="C23" s="211">
        <v>23.4</v>
      </c>
      <c r="D23" s="211">
        <v>35.2</v>
      </c>
      <c r="E23" s="211">
        <v>51.1</v>
      </c>
      <c r="F23" s="211">
        <v>26.4</v>
      </c>
      <c r="G23" s="211">
        <v>33.3</v>
      </c>
    </row>
    <row r="24" spans="1:7" ht="14.25">
      <c r="A24" s="211" t="s">
        <v>263</v>
      </c>
      <c r="C24" s="211">
        <v>7</v>
      </c>
      <c r="D24" s="211">
        <v>3</v>
      </c>
      <c r="E24" s="211">
        <v>4</v>
      </c>
      <c r="F24" s="211">
        <v>7</v>
      </c>
      <c r="G24" s="211">
        <v>6</v>
      </c>
    </row>
    <row r="25" spans="1:7" ht="14.25">
      <c r="A25" s="211" t="s">
        <v>11</v>
      </c>
      <c r="C25" s="211">
        <v>50</v>
      </c>
      <c r="D25" s="211">
        <v>11</v>
      </c>
      <c r="E25" s="211">
        <v>32</v>
      </c>
      <c r="F25" s="211">
        <v>55</v>
      </c>
      <c r="G25" s="211">
        <v>46</v>
      </c>
    </row>
    <row r="26" spans="1:7" ht="14.25">
      <c r="A26" s="211" t="s">
        <v>264</v>
      </c>
      <c r="C26" s="211">
        <v>3.5</v>
      </c>
      <c r="D26" s="211">
        <v>2.6</v>
      </c>
      <c r="E26" s="211">
        <v>3.7</v>
      </c>
      <c r="F26" s="211">
        <v>5.3</v>
      </c>
      <c r="G26" s="211">
        <v>3.7</v>
      </c>
    </row>
    <row r="27" spans="1:6" ht="14.25">
      <c r="A27" s="211" t="s">
        <v>265</v>
      </c>
      <c r="C27" s="211">
        <v>1025</v>
      </c>
      <c r="E27" s="211">
        <v>1220</v>
      </c>
      <c r="F27" s="211">
        <v>1340</v>
      </c>
    </row>
    <row r="28" spans="1:6" ht="14.25">
      <c r="A28" s="211" t="s">
        <v>266</v>
      </c>
      <c r="C28" s="211">
        <v>1110</v>
      </c>
      <c r="E28" s="211">
        <v>1255</v>
      </c>
      <c r="F28" s="211">
        <v>1415</v>
      </c>
    </row>
    <row r="29" spans="1:6" ht="14.25">
      <c r="A29" s="211" t="s">
        <v>277</v>
      </c>
      <c r="B29" s="211">
        <v>12</v>
      </c>
      <c r="C29" s="211">
        <v>12</v>
      </c>
      <c r="E29" s="211">
        <v>9</v>
      </c>
      <c r="F29" s="211">
        <v>12</v>
      </c>
    </row>
    <row r="30" spans="1:6" ht="14.25">
      <c r="A30" s="211" t="s">
        <v>278</v>
      </c>
      <c r="B30" s="211">
        <v>108</v>
      </c>
      <c r="C30" s="211">
        <v>84</v>
      </c>
      <c r="E30" s="211">
        <v>104</v>
      </c>
      <c r="F30" s="211">
        <v>108</v>
      </c>
    </row>
    <row r="31" spans="1:6" ht="14.25">
      <c r="A31" s="211" t="s">
        <v>279</v>
      </c>
      <c r="C31" s="211">
        <v>7.365</v>
      </c>
      <c r="E31" s="211">
        <v>10.53</v>
      </c>
      <c r="F31" s="211">
        <v>8.539</v>
      </c>
    </row>
    <row r="32" spans="1:7" ht="14.25">
      <c r="A32" s="211" t="s">
        <v>270</v>
      </c>
      <c r="B32" s="211" t="s">
        <v>280</v>
      </c>
      <c r="C32" s="211" t="s">
        <v>274</v>
      </c>
      <c r="D32" s="211" t="s">
        <v>281</v>
      </c>
      <c r="E32" s="211" t="s">
        <v>282</v>
      </c>
      <c r="F32" s="211" t="s">
        <v>283</v>
      </c>
      <c r="G32" s="211" t="s">
        <v>284</v>
      </c>
    </row>
  </sheetData>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C47"/>
  <sheetViews>
    <sheetView workbookViewId="0" topLeftCell="A1">
      <pane ySplit="2" topLeftCell="BM3" activePane="bottomLeft" state="frozen"/>
      <selection pane="topLeft" activeCell="A1" sqref="A1"/>
      <selection pane="bottomLeft" activeCell="A4" sqref="A4"/>
    </sheetView>
  </sheetViews>
  <sheetFormatPr defaultColWidth="9.140625" defaultRowHeight="12.75"/>
  <cols>
    <col min="1" max="1" width="3.7109375" style="0" customWidth="1"/>
    <col min="2" max="2" width="5.7109375" style="196" customWidth="1"/>
    <col min="3" max="4" width="3.7109375" style="0" hidden="1" customWidth="1"/>
    <col min="5" max="7" width="3.7109375" style="117" hidden="1" customWidth="1"/>
    <col min="8" max="8" width="3.7109375" style="135" hidden="1" customWidth="1"/>
    <col min="9" max="10" width="5.7109375" style="134" customWidth="1"/>
    <col min="11" max="11" width="4.7109375" style="152" customWidth="1"/>
    <col min="12" max="12" width="5.7109375" style="147" customWidth="1"/>
    <col min="13" max="14" width="5.7109375" style="148" customWidth="1"/>
    <col min="15" max="15" width="4.7109375" style="144" customWidth="1"/>
    <col min="16" max="16" width="4.7109375" style="142" customWidth="1"/>
    <col min="17" max="18" width="4.7109375" style="143" customWidth="1"/>
    <col min="19" max="19" width="5.7109375" style="162" customWidth="1"/>
    <col min="20" max="20" width="4.7109375" style="115" customWidth="1"/>
    <col min="21" max="22" width="4.7109375" style="30" customWidth="1"/>
    <col min="23" max="23" width="4.7109375" style="144" customWidth="1"/>
    <col min="24" max="27" width="4.7109375" style="150" customWidth="1"/>
    <col min="28" max="28" width="5.7109375" style="151" customWidth="1"/>
    <col min="29" max="29" width="5.7109375" style="159" customWidth="1"/>
  </cols>
  <sheetData>
    <row r="1" spans="3:29" ht="12.75">
      <c r="C1" s="243" t="s">
        <v>160</v>
      </c>
      <c r="D1" s="243"/>
      <c r="E1" s="241" t="s">
        <v>159</v>
      </c>
      <c r="F1" s="241"/>
      <c r="G1" s="241"/>
      <c r="H1" s="242"/>
      <c r="I1" s="241" t="s">
        <v>8</v>
      </c>
      <c r="J1" s="241"/>
      <c r="K1" s="241"/>
      <c r="L1" s="245" t="s">
        <v>169</v>
      </c>
      <c r="M1" s="246"/>
      <c r="N1" s="246"/>
      <c r="O1" s="247"/>
      <c r="P1" s="244" t="s">
        <v>12</v>
      </c>
      <c r="Q1" s="241"/>
      <c r="R1" s="241"/>
      <c r="S1" s="241"/>
      <c r="T1" s="241"/>
      <c r="U1" s="241"/>
      <c r="V1" s="241"/>
      <c r="W1" s="242"/>
      <c r="X1" s="244" t="s">
        <v>167</v>
      </c>
      <c r="Y1" s="241"/>
      <c r="Z1" s="241"/>
      <c r="AA1" s="241"/>
      <c r="AB1" s="241"/>
      <c r="AC1" s="242"/>
    </row>
    <row r="2" spans="2:29" ht="50.25">
      <c r="B2" s="196" t="s">
        <v>153</v>
      </c>
      <c r="C2" s="131" t="s">
        <v>162</v>
      </c>
      <c r="D2" s="131" t="s">
        <v>163</v>
      </c>
      <c r="E2" s="131" t="s">
        <v>8</v>
      </c>
      <c r="F2" s="131" t="s">
        <v>167</v>
      </c>
      <c r="G2" s="131" t="s">
        <v>12</v>
      </c>
      <c r="H2" s="137" t="s">
        <v>168</v>
      </c>
      <c r="I2" s="136" t="s">
        <v>162</v>
      </c>
      <c r="J2" s="136" t="s">
        <v>163</v>
      </c>
      <c r="K2" s="141" t="s">
        <v>119</v>
      </c>
      <c r="L2" s="145" t="s">
        <v>147</v>
      </c>
      <c r="M2" s="146" t="s">
        <v>148</v>
      </c>
      <c r="N2" s="146" t="s">
        <v>161</v>
      </c>
      <c r="O2" s="153" t="s">
        <v>170</v>
      </c>
      <c r="P2" s="139" t="s">
        <v>162</v>
      </c>
      <c r="Q2" s="140" t="s">
        <v>163</v>
      </c>
      <c r="R2" s="140" t="s">
        <v>158</v>
      </c>
      <c r="S2" s="155" t="s">
        <v>13</v>
      </c>
      <c r="T2" s="132" t="s">
        <v>175</v>
      </c>
      <c r="U2" s="160" t="s">
        <v>176</v>
      </c>
      <c r="V2" s="133" t="s">
        <v>177</v>
      </c>
      <c r="W2" s="153" t="s">
        <v>167</v>
      </c>
      <c r="X2" s="140" t="s">
        <v>162</v>
      </c>
      <c r="Y2" s="140" t="s">
        <v>163</v>
      </c>
      <c r="Z2" s="140" t="s">
        <v>173</v>
      </c>
      <c r="AA2" s="140" t="s">
        <v>174</v>
      </c>
      <c r="AB2" s="154" t="s">
        <v>171</v>
      </c>
      <c r="AC2" s="158" t="s">
        <v>172</v>
      </c>
    </row>
    <row r="3" ht="12.75">
      <c r="A3" s="126" t="s">
        <v>183</v>
      </c>
    </row>
    <row r="4" spans="1:29" ht="12.75">
      <c r="A4" s="66"/>
      <c r="B4" s="196" t="s">
        <v>178</v>
      </c>
      <c r="C4">
        <v>7</v>
      </c>
      <c r="D4">
        <v>8</v>
      </c>
      <c r="E4" s="117" t="s">
        <v>156</v>
      </c>
      <c r="F4" s="117" t="s">
        <v>157</v>
      </c>
      <c r="H4" s="135" t="s">
        <v>155</v>
      </c>
      <c r="I4" s="138">
        <f aca="true" ca="1" t="shared" si="0" ref="I4:I10">IF(ISBLANK($E4),"",INDIRECT($B4&amp;"!"&amp;$E4&amp;$C4))</f>
        <v>0.2638888888888889</v>
      </c>
      <c r="J4" s="138">
        <f aca="true" ca="1" t="shared" si="1" ref="J4:J10">IF(ISBLANK($E4),"",INDIRECT($B4&amp;"!"&amp;$E4&amp;$D4))</f>
        <v>0.28680555555555554</v>
      </c>
      <c r="K4" s="152">
        <f aca="true" t="shared" si="2" ref="K4:K10">IF(AND(ISNUMBER(I4),ISNUMBER(J4)),(J4-I4)*24*60,"")</f>
        <v>32.999999999999964</v>
      </c>
      <c r="L4" s="147">
        <f aca="true" ca="1" t="shared" si="3" ref="L4:L10">IF(ISBLANK($H4),"",INDIRECT($B4&amp;"!"&amp;$H4&amp;$C4))</f>
        <v>42.8</v>
      </c>
      <c r="M4" s="148">
        <f aca="true" ca="1" t="shared" si="4" ref="M4:M10">IF(ISBLANK($H4),"",INDIRECT($B4&amp;"!"&amp;$H4&amp;$D4))</f>
        <v>69.3</v>
      </c>
      <c r="N4" s="148">
        <f aca="true" t="shared" si="5" ref="N4:N10">IF(AND(ISNUMBER(L4),ISNUMBER(M4)),M4-L4,"")</f>
        <v>26.5</v>
      </c>
      <c r="O4" s="144">
        <f aca="true" t="shared" si="6" ref="O4:O10">IF(AND(ISNUMBER(K4),ISNUMBER(N4)),N4/(K4/60),"")</f>
        <v>48.18181818181824</v>
      </c>
      <c r="P4" s="142">
        <f aca="true" ca="1" t="shared" si="7" ref="P4:P10">IF(ISBLANK($G4),"",INDIRECT($B4&amp;"!"&amp;$G4&amp;$C4))</f>
      </c>
      <c r="Q4" s="143">
        <f aca="true" ca="1" t="shared" si="8" ref="Q4:Q10">IF(ISBLANK($G4),"",INDIRECT($B4&amp;"!"&amp;$G4&amp;$D4))</f>
      </c>
      <c r="R4" s="143">
        <f aca="true" t="shared" si="9" ref="R4:R10">IF(AND(ISNUMBER(P4),ISNUMBER(Q4)),P4-Q4,"")</f>
      </c>
      <c r="S4" s="163">
        <f aca="true" t="shared" si="10" ref="S4:S10">IF(ISNUMBER(R4),R4*0.08,"")</f>
      </c>
      <c r="T4" s="115">
        <f aca="true" t="shared" si="11" ref="T4:T10">IF(AND(ISNUMBER(N4),ISNUMBER(S4)),N4/S4,"")</f>
      </c>
      <c r="U4" s="30">
        <f aca="true" t="shared" si="12" ref="U4:U10">IF(AND(ISNUMBER(S4),ISNUMBER(N4)),S4*1000/N4,"")</f>
      </c>
      <c r="V4" s="157">
        <f aca="true" t="shared" si="13" ref="V4:V10">IF(ISNUMBER(R4),R4/281,"")</f>
      </c>
      <c r="W4" s="149">
        <f aca="true" t="shared" si="14" ref="W4:W10">IF(ISNUMBER(R4),R4/20,"")</f>
      </c>
      <c r="X4" s="150">
        <f aca="true" ca="1" t="shared" si="15" ref="X4:X10">IF(ISBLANK($F4),"",INDIRECT($B4&amp;"!"&amp;$F4&amp;$C4))</f>
        <v>11</v>
      </c>
      <c r="Y4" s="150">
        <f aca="true" ca="1" t="shared" si="16" ref="Y4:Y10">IF(ISBLANK($F4),"",INDIRECT($B4&amp;"!"&amp;$F4&amp;$D4))</f>
        <v>7</v>
      </c>
      <c r="Z4" s="150">
        <f>IF(AND(ISNUMBER(X4),ISNUMBER(Y4)),VLOOKUP(X4,Bars!$A$2:$C$14,2)-VLOOKUP(Y4,Bars!$A$2:$C$14,3),"")</f>
        <v>55</v>
      </c>
      <c r="AA4" s="150">
        <f>IF(AND(ISNUMBER(X4),ISNUMBER(Y4)),VLOOKUP(X4,Bars!$A$2:$C$14,3)-VLOOKUP(Y4,Bars!$A$2:$C$14,2),"")</f>
        <v>93</v>
      </c>
      <c r="AB4" s="151">
        <f aca="true" t="shared" si="17" ref="AB4:AC10">IF(ISNUMBER(Z4),Z4*0.08,"")</f>
        <v>4.4</v>
      </c>
      <c r="AC4" s="159">
        <f t="shared" si="17"/>
        <v>7.44</v>
      </c>
    </row>
    <row r="5" spans="1:29" ht="12.75">
      <c r="A5" s="66"/>
      <c r="B5" s="196" t="s">
        <v>179</v>
      </c>
      <c r="C5">
        <v>7</v>
      </c>
      <c r="D5">
        <v>8</v>
      </c>
      <c r="E5" s="117" t="s">
        <v>156</v>
      </c>
      <c r="I5" s="138">
        <f ca="1" t="shared" si="0"/>
        <v>0.2986111111111111</v>
      </c>
      <c r="J5" s="138">
        <f ca="1" t="shared" si="1"/>
        <v>0.3236111111111111</v>
      </c>
      <c r="K5" s="152">
        <f t="shared" si="2"/>
        <v>36.00000000000003</v>
      </c>
      <c r="L5" s="147">
        <f ca="1" t="shared" si="3"/>
      </c>
      <c r="M5" s="148">
        <f ca="1" t="shared" si="4"/>
      </c>
      <c r="N5" s="148">
        <f t="shared" si="5"/>
      </c>
      <c r="O5" s="144">
        <f t="shared" si="6"/>
      </c>
      <c r="P5" s="142">
        <f ca="1" t="shared" si="7"/>
      </c>
      <c r="Q5" s="143">
        <f ca="1" t="shared" si="8"/>
      </c>
      <c r="R5" s="143">
        <f t="shared" si="9"/>
      </c>
      <c r="S5" s="163">
        <f t="shared" si="10"/>
      </c>
      <c r="T5" s="115">
        <f t="shared" si="11"/>
      </c>
      <c r="U5" s="30">
        <f t="shared" si="12"/>
      </c>
      <c r="V5" s="157">
        <f t="shared" si="13"/>
      </c>
      <c r="W5" s="149">
        <f t="shared" si="14"/>
      </c>
      <c r="X5" s="150">
        <f ca="1" t="shared" si="15"/>
      </c>
      <c r="Y5" s="150">
        <f ca="1" t="shared" si="16"/>
      </c>
      <c r="Z5" s="150">
        <f>IF(AND(ISNUMBER(X5),ISNUMBER(Y5)),VLOOKUP(X5,Bars!$A$2:$C$14,2)-VLOOKUP(Y5,Bars!$A$2:$C$14,3),"")</f>
      </c>
      <c r="AA5" s="150">
        <f>IF(AND(ISNUMBER(X5),ISNUMBER(Y5)),VLOOKUP(X5,Bars!$A$2:$C$14,3)-VLOOKUP(Y5,Bars!$A$2:$C$14,2),"")</f>
      </c>
      <c r="AB5" s="151">
        <f t="shared" si="17"/>
      </c>
      <c r="AC5" s="159">
        <f t="shared" si="17"/>
      </c>
    </row>
    <row r="6" spans="2:29" ht="12.75">
      <c r="B6" s="196" t="s">
        <v>144</v>
      </c>
      <c r="C6">
        <v>7</v>
      </c>
      <c r="D6">
        <v>8</v>
      </c>
      <c r="E6" s="117" t="s">
        <v>156</v>
      </c>
      <c r="F6" s="117" t="s">
        <v>157</v>
      </c>
      <c r="G6" s="117" t="s">
        <v>154</v>
      </c>
      <c r="H6" s="135" t="s">
        <v>155</v>
      </c>
      <c r="I6" s="138">
        <f ca="1" t="shared" si="0"/>
        <v>0.3513888888888889</v>
      </c>
      <c r="J6" s="138">
        <f ca="1" t="shared" si="1"/>
        <v>0.3763888888888889</v>
      </c>
      <c r="K6" s="152">
        <f t="shared" si="2"/>
        <v>35.99999999999995</v>
      </c>
      <c r="L6" s="147">
        <f ca="1" t="shared" si="3"/>
        <v>31.1</v>
      </c>
      <c r="M6" s="148">
        <f ca="1" t="shared" si="4"/>
        <v>57.5</v>
      </c>
      <c r="N6" s="148">
        <f t="shared" si="5"/>
        <v>26.4</v>
      </c>
      <c r="O6" s="144">
        <f t="shared" si="6"/>
        <v>44.00000000000006</v>
      </c>
      <c r="P6" s="142">
        <f ca="1" t="shared" si="7"/>
        <v>244</v>
      </c>
      <c r="Q6" s="143">
        <f ca="1" t="shared" si="8"/>
        <v>141</v>
      </c>
      <c r="R6" s="143">
        <f t="shared" si="9"/>
        <v>103</v>
      </c>
      <c r="S6" s="163">
        <f t="shared" si="10"/>
        <v>8.24</v>
      </c>
      <c r="T6" s="115">
        <f t="shared" si="11"/>
        <v>3.203883495145631</v>
      </c>
      <c r="U6" s="30">
        <f t="shared" si="12"/>
        <v>312.1212121212121</v>
      </c>
      <c r="V6" s="157">
        <f t="shared" si="13"/>
        <v>0.3665480427046263</v>
      </c>
      <c r="W6" s="149">
        <f t="shared" si="14"/>
        <v>5.15</v>
      </c>
      <c r="X6" s="150">
        <f ca="1" t="shared" si="15"/>
        <v>10</v>
      </c>
      <c r="Y6" s="150">
        <f ca="1" t="shared" si="16"/>
        <v>5</v>
      </c>
      <c r="Z6" s="150">
        <f>IF(AND(ISNUMBER(X6),ISNUMBER(Y6)),VLOOKUP(X6,Bars!$A$2:$C$14,2)-VLOOKUP(Y6,Bars!$A$2:$C$14,3),"")</f>
        <v>79</v>
      </c>
      <c r="AA6" s="150">
        <f>IF(AND(ISNUMBER(X6),ISNUMBER(Y6)),VLOOKUP(X6,Bars!$A$2:$C$14,3)-VLOOKUP(Y6,Bars!$A$2:$C$14,2),"")</f>
        <v>113</v>
      </c>
      <c r="AB6" s="151">
        <f t="shared" si="17"/>
        <v>6.32</v>
      </c>
      <c r="AC6" s="159">
        <f t="shared" si="17"/>
        <v>9.040000000000001</v>
      </c>
    </row>
    <row r="7" spans="2:29" ht="12.75">
      <c r="B7" s="196" t="s">
        <v>180</v>
      </c>
      <c r="C7">
        <v>7</v>
      </c>
      <c r="D7">
        <v>8</v>
      </c>
      <c r="E7" s="117" t="s">
        <v>156</v>
      </c>
      <c r="F7" s="117" t="s">
        <v>157</v>
      </c>
      <c r="H7" s="135" t="s">
        <v>155</v>
      </c>
      <c r="I7" s="138">
        <f ca="1" t="shared" si="0"/>
        <v>0.39166666666666666</v>
      </c>
      <c r="J7" s="138">
        <f ca="1" t="shared" si="1"/>
        <v>0.4145833333333333</v>
      </c>
      <c r="K7" s="152">
        <f t="shared" si="2"/>
        <v>32.999999999999964</v>
      </c>
      <c r="L7" s="147">
        <f ca="1" t="shared" si="3"/>
        <v>23.3</v>
      </c>
      <c r="M7" s="148">
        <f ca="1" t="shared" si="4"/>
        <v>49.8</v>
      </c>
      <c r="N7" s="148">
        <f t="shared" si="5"/>
        <v>26.499999999999996</v>
      </c>
      <c r="O7" s="144">
        <f t="shared" si="6"/>
        <v>48.18181818181823</v>
      </c>
      <c r="P7" s="142">
        <f ca="1" t="shared" si="7"/>
      </c>
      <c r="Q7" s="143">
        <f ca="1" t="shared" si="8"/>
      </c>
      <c r="R7" s="143">
        <f t="shared" si="9"/>
      </c>
      <c r="S7" s="163">
        <f t="shared" si="10"/>
      </c>
      <c r="T7" s="115">
        <f t="shared" si="11"/>
      </c>
      <c r="U7" s="30">
        <f t="shared" si="12"/>
      </c>
      <c r="V7" s="157">
        <f t="shared" si="13"/>
      </c>
      <c r="W7" s="149">
        <f t="shared" si="14"/>
      </c>
      <c r="X7" s="150">
        <f ca="1" t="shared" si="15"/>
        <v>11</v>
      </c>
      <c r="Y7" s="150">
        <f ca="1" t="shared" si="16"/>
        <v>6</v>
      </c>
      <c r="Z7" s="150">
        <f>IF(AND(ISNUMBER(X7),ISNUMBER(Y7)),VLOOKUP(X7,Bars!$A$2:$C$14,2)-VLOOKUP(Y7,Bars!$A$2:$C$14,3),"")</f>
        <v>74</v>
      </c>
      <c r="AA7" s="150">
        <f>IF(AND(ISNUMBER(X7),ISNUMBER(Y7)),VLOOKUP(X7,Bars!$A$2:$C$14,3)-VLOOKUP(Y7,Bars!$A$2:$C$14,2),"")</f>
        <v>114</v>
      </c>
      <c r="AB7" s="151">
        <f t="shared" si="17"/>
        <v>5.92</v>
      </c>
      <c r="AC7" s="159">
        <f t="shared" si="17"/>
        <v>9.120000000000001</v>
      </c>
    </row>
    <row r="8" spans="2:29" ht="12.75">
      <c r="B8" s="196" t="s">
        <v>145</v>
      </c>
      <c r="C8">
        <v>7</v>
      </c>
      <c r="D8">
        <v>8</v>
      </c>
      <c r="E8" s="117" t="s">
        <v>156</v>
      </c>
      <c r="F8" s="117" t="s">
        <v>157</v>
      </c>
      <c r="G8" s="117" t="s">
        <v>154</v>
      </c>
      <c r="H8" s="135" t="s">
        <v>155</v>
      </c>
      <c r="I8" s="138">
        <f ca="1" t="shared" si="0"/>
        <v>0.40972222222222227</v>
      </c>
      <c r="J8" s="138">
        <f ca="1" t="shared" si="1"/>
        <v>0.4381944444444445</v>
      </c>
      <c r="K8" s="152">
        <f t="shared" si="2"/>
        <v>41.000000000000014</v>
      </c>
      <c r="L8" s="147">
        <f ca="1" t="shared" si="3"/>
        <v>0</v>
      </c>
      <c r="M8" s="148">
        <f ca="1" t="shared" si="4"/>
        <v>26.4</v>
      </c>
      <c r="N8" s="148">
        <f t="shared" si="5"/>
        <v>26.4</v>
      </c>
      <c r="O8" s="144">
        <f t="shared" si="6"/>
        <v>38.6341463414634</v>
      </c>
      <c r="P8" s="142">
        <f ca="1" t="shared" si="7"/>
        <v>245</v>
      </c>
      <c r="Q8" s="143">
        <f ca="1" t="shared" si="8"/>
        <v>155</v>
      </c>
      <c r="R8" s="143">
        <f t="shared" si="9"/>
        <v>90</v>
      </c>
      <c r="S8" s="163">
        <f t="shared" si="10"/>
        <v>7.2</v>
      </c>
      <c r="T8" s="115">
        <f t="shared" si="11"/>
        <v>3.6666666666666665</v>
      </c>
      <c r="U8" s="30">
        <f t="shared" si="12"/>
        <v>272.72727272727275</v>
      </c>
      <c r="V8" s="157">
        <f t="shared" si="13"/>
        <v>0.3202846975088968</v>
      </c>
      <c r="W8" s="149">
        <f t="shared" si="14"/>
        <v>4.5</v>
      </c>
      <c r="X8" s="150">
        <f ca="1" t="shared" si="15"/>
        <v>11</v>
      </c>
      <c r="Y8" s="150">
        <f ca="1" t="shared" si="16"/>
        <v>6</v>
      </c>
      <c r="Z8" s="150">
        <f>IF(AND(ISNUMBER(X8),ISNUMBER(Y8)),VLOOKUP(X8,Bars!$A$2:$C$14,2)-VLOOKUP(Y8,Bars!$A$2:$C$14,3),"")</f>
        <v>74</v>
      </c>
      <c r="AA8" s="150">
        <f>IF(AND(ISNUMBER(X8),ISNUMBER(Y8)),VLOOKUP(X8,Bars!$A$2:$C$14,3)-VLOOKUP(Y8,Bars!$A$2:$C$14,2),"")</f>
        <v>114</v>
      </c>
      <c r="AB8" s="151">
        <f t="shared" si="17"/>
        <v>5.92</v>
      </c>
      <c r="AC8" s="159">
        <f t="shared" si="17"/>
        <v>9.120000000000001</v>
      </c>
    </row>
    <row r="9" spans="2:29" ht="12.75">
      <c r="B9" s="196" t="s">
        <v>146</v>
      </c>
      <c r="C9">
        <v>12</v>
      </c>
      <c r="D9">
        <v>13</v>
      </c>
      <c r="E9" s="117" t="s">
        <v>156</v>
      </c>
      <c r="F9" s="117" t="s">
        <v>157</v>
      </c>
      <c r="G9" s="117" t="s">
        <v>154</v>
      </c>
      <c r="H9" s="135" t="s">
        <v>155</v>
      </c>
      <c r="I9" s="138">
        <f ca="1" t="shared" si="0"/>
        <v>0.43402777777777773</v>
      </c>
      <c r="J9" s="138">
        <f ca="1" t="shared" si="1"/>
        <v>0.4604166666666667</v>
      </c>
      <c r="K9" s="152">
        <f t="shared" si="2"/>
        <v>38.00000000000011</v>
      </c>
      <c r="L9" s="147">
        <f ca="1" t="shared" si="3"/>
        <v>42.6</v>
      </c>
      <c r="M9" s="148">
        <f ca="1" t="shared" si="4"/>
        <v>69.1</v>
      </c>
      <c r="N9" s="148">
        <f t="shared" si="5"/>
        <v>26.499999999999993</v>
      </c>
      <c r="O9" s="144">
        <f t="shared" si="6"/>
        <v>41.84210526315777</v>
      </c>
      <c r="P9" s="142">
        <f ca="1" t="shared" si="7"/>
        <v>245</v>
      </c>
      <c r="Q9" s="143">
        <f ca="1" t="shared" si="8"/>
        <v>146</v>
      </c>
      <c r="R9" s="143">
        <f t="shared" si="9"/>
        <v>99</v>
      </c>
      <c r="S9" s="163">
        <f t="shared" si="10"/>
        <v>7.92</v>
      </c>
      <c r="T9" s="115">
        <f t="shared" si="11"/>
        <v>3.345959595959595</v>
      </c>
      <c r="U9" s="30">
        <f t="shared" si="12"/>
        <v>298.86792452830196</v>
      </c>
      <c r="V9" s="157">
        <f t="shared" si="13"/>
        <v>0.35231316725978645</v>
      </c>
      <c r="W9" s="149">
        <f t="shared" si="14"/>
        <v>4.95</v>
      </c>
      <c r="X9" s="150">
        <f ca="1" t="shared" si="15"/>
        <v>11</v>
      </c>
      <c r="Y9" s="150">
        <f ca="1" t="shared" si="16"/>
        <v>5</v>
      </c>
      <c r="Z9" s="150">
        <f>IF(AND(ISNUMBER(X9),ISNUMBER(Y9)),VLOOKUP(X9,Bars!$A$2:$C$14,2)-VLOOKUP(Y9,Bars!$A$2:$C$14,3),"")</f>
        <v>95</v>
      </c>
      <c r="AA9" s="150">
        <f>IF(AND(ISNUMBER(X9),ISNUMBER(Y9)),VLOOKUP(X9,Bars!$A$2:$C$14,3)-VLOOKUP(Y9,Bars!$A$2:$C$14,2),"")</f>
        <v>134</v>
      </c>
      <c r="AB9" s="151">
        <f t="shared" si="17"/>
        <v>7.6000000000000005</v>
      </c>
      <c r="AC9" s="159">
        <f t="shared" si="17"/>
        <v>10.72</v>
      </c>
    </row>
    <row r="10" spans="2:29" ht="12.75">
      <c r="B10" s="196" t="s">
        <v>181</v>
      </c>
      <c r="C10">
        <v>7</v>
      </c>
      <c r="D10">
        <v>8</v>
      </c>
      <c r="E10" s="117" t="s">
        <v>156</v>
      </c>
      <c r="F10" s="117" t="s">
        <v>157</v>
      </c>
      <c r="H10" s="135" t="s">
        <v>155</v>
      </c>
      <c r="I10" s="138">
        <f ca="1" t="shared" si="0"/>
        <v>0.4979166666666666</v>
      </c>
      <c r="J10" s="138">
        <f ca="1" t="shared" si="1"/>
        <v>0.5208333333333334</v>
      </c>
      <c r="K10" s="152">
        <f t="shared" si="2"/>
        <v>33.00000000000012</v>
      </c>
      <c r="L10" s="147">
        <f ca="1" t="shared" si="3"/>
        <v>29.6</v>
      </c>
      <c r="M10" s="148">
        <f ca="1" t="shared" si="4"/>
        <v>56.1</v>
      </c>
      <c r="N10" s="148">
        <f t="shared" si="5"/>
        <v>26.5</v>
      </c>
      <c r="O10" s="144">
        <f t="shared" si="6"/>
        <v>48.181818181818</v>
      </c>
      <c r="P10" s="142">
        <f ca="1" t="shared" si="7"/>
      </c>
      <c r="Q10" s="143">
        <f ca="1" t="shared" si="8"/>
      </c>
      <c r="R10" s="143">
        <f t="shared" si="9"/>
      </c>
      <c r="S10" s="163">
        <f t="shared" si="10"/>
      </c>
      <c r="T10" s="115">
        <f t="shared" si="11"/>
      </c>
      <c r="U10" s="30">
        <f t="shared" si="12"/>
      </c>
      <c r="V10" s="157">
        <f t="shared" si="13"/>
      </c>
      <c r="W10" s="149">
        <f t="shared" si="14"/>
      </c>
      <c r="X10" s="150">
        <f ca="1" t="shared" si="15"/>
        <v>11</v>
      </c>
      <c r="Y10" s="150">
        <f ca="1" t="shared" si="16"/>
        <v>6</v>
      </c>
      <c r="Z10" s="150">
        <f>IF(AND(ISNUMBER(X10),ISNUMBER(Y10)),VLOOKUP(X10,Bars!$A$2:$C$14,2)-VLOOKUP(Y10,Bars!$A$2:$C$14,3),"")</f>
        <v>74</v>
      </c>
      <c r="AA10" s="150">
        <f>IF(AND(ISNUMBER(X10),ISNUMBER(Y10)),VLOOKUP(X10,Bars!$A$2:$C$14,3)-VLOOKUP(Y10,Bars!$A$2:$C$14,2),"")</f>
        <v>114</v>
      </c>
      <c r="AB10" s="151">
        <f t="shared" si="17"/>
        <v>5.92</v>
      </c>
      <c r="AC10" s="159">
        <f t="shared" si="17"/>
        <v>9.120000000000001</v>
      </c>
    </row>
    <row r="11" ht="12.75">
      <c r="A11" s="126" t="s">
        <v>184</v>
      </c>
    </row>
    <row r="12" spans="2:29" ht="12.75">
      <c r="B12" s="196" t="s">
        <v>178</v>
      </c>
      <c r="C12">
        <v>11</v>
      </c>
      <c r="D12">
        <v>12</v>
      </c>
      <c r="E12" s="117" t="s">
        <v>156</v>
      </c>
      <c r="F12" s="117" t="s">
        <v>157</v>
      </c>
      <c r="H12" s="135" t="s">
        <v>155</v>
      </c>
      <c r="I12" s="138">
        <f aca="true" ca="1" t="shared" si="18" ref="I12:I46">IF(ISBLANK($E12),"",INDIRECT($B12&amp;"!"&amp;$E12&amp;$C12))</f>
        <v>0.3680555555555556</v>
      </c>
      <c r="J12" s="138">
        <f aca="true" ca="1" t="shared" si="19" ref="J12:J46">IF(ISBLANK($E12),"",INDIRECT($B12&amp;"!"&amp;$E12&amp;$D12))</f>
        <v>0.40972222222222227</v>
      </c>
      <c r="K12" s="152">
        <f aca="true" t="shared" si="20" ref="K12:K18">IF(AND(ISNUMBER(I12),ISNUMBER(J12)),(J12-I12)*24*60,"")</f>
        <v>60.00000000000003</v>
      </c>
      <c r="L12" s="147">
        <f aca="true" ca="1" t="shared" si="21" ref="L12:L46">IF(ISBLANK($H12),"",INDIRECT($B12&amp;"!"&amp;$H12&amp;$C12))</f>
        <v>69.4</v>
      </c>
      <c r="M12" s="148">
        <f aca="true" ca="1" t="shared" si="22" ref="M12:M46">IF(ISBLANK($H12),"",INDIRECT($B12&amp;"!"&amp;$H12&amp;$D12))</f>
        <v>120.5</v>
      </c>
      <c r="N12" s="148">
        <f aca="true" t="shared" si="23" ref="N12:N18">IF(AND(ISNUMBER(L12),ISNUMBER(M12)),M12-L12,"")</f>
        <v>51.099999999999994</v>
      </c>
      <c r="O12" s="144">
        <f aca="true" t="shared" si="24" ref="O12:O18">IF(AND(ISNUMBER(K12),ISNUMBER(N12)),N12/(K12/60),"")</f>
        <v>51.09999999999997</v>
      </c>
      <c r="P12" s="142">
        <f aca="true" ca="1" t="shared" si="25" ref="P12:P46">IF(ISBLANK($G12),"",INDIRECT($B12&amp;"!"&amp;$G12&amp;$C12))</f>
      </c>
      <c r="Q12" s="143">
        <f aca="true" ca="1" t="shared" si="26" ref="Q12:Q46">IF(ISBLANK($G12),"",INDIRECT($B12&amp;"!"&amp;$G12&amp;$D12))</f>
      </c>
      <c r="R12" s="143">
        <f aca="true" t="shared" si="27" ref="R12:R18">IF(AND(ISNUMBER(P12),ISNUMBER(Q12)),P12-Q12,"")</f>
      </c>
      <c r="S12" s="163">
        <f aca="true" t="shared" si="28" ref="S12:S46">IF(ISNUMBER(R12),R12*0.08,"")</f>
      </c>
      <c r="T12" s="115">
        <f aca="true" t="shared" si="29" ref="T12:T18">IF(AND(ISNUMBER(N12),ISNUMBER(S12)),N12/S12,"")</f>
      </c>
      <c r="U12" s="30">
        <f aca="true" t="shared" si="30" ref="U12:U18">IF(AND(ISNUMBER(S12),ISNUMBER(N12)),S12*1000/N12,"")</f>
      </c>
      <c r="V12" s="157">
        <f aca="true" t="shared" si="31" ref="V12:V18">IF(ISNUMBER(R12),R12/281,"")</f>
      </c>
      <c r="W12" s="149">
        <f aca="true" t="shared" si="32" ref="W12:W18">IF(ISNUMBER(R12),R12/20,"")</f>
      </c>
      <c r="X12" s="150">
        <f aca="true" ca="1" t="shared" si="33" ref="X12:X46">IF(ISBLANK($F12),"",INDIRECT($B12&amp;"!"&amp;$F12&amp;$C12))</f>
        <v>11</v>
      </c>
      <c r="Y12" s="150">
        <f aca="true" ca="1" t="shared" si="34" ref="Y12:Y46">IF(ISBLANK($F12),"",INDIRECT($B12&amp;"!"&amp;$F12&amp;$D12))</f>
        <v>3</v>
      </c>
      <c r="Z12" s="150">
        <f>IF(AND(ISNUMBER(X12),ISNUMBER(Y12)),VLOOKUP(X12,Bars!$A$2:$C$14,2)-VLOOKUP(Y12,Bars!$A$2:$C$14,3),"")</f>
        <v>134</v>
      </c>
      <c r="AA12" s="150">
        <f>IF(AND(ISNUMBER(X12),ISNUMBER(Y12)),VLOOKUP(X12,Bars!$A$2:$C$14,3)-VLOOKUP(Y12,Bars!$A$2:$C$14,2),"")</f>
        <v>173</v>
      </c>
      <c r="AB12" s="151">
        <f aca="true" t="shared" si="35" ref="AB12:AB18">IF(ISNUMBER(Z12),Z12*0.08,"")</f>
        <v>10.72</v>
      </c>
      <c r="AC12" s="159">
        <f aca="true" t="shared" si="36" ref="AC12:AC18">IF(ISNUMBER(AA12),AA12*0.08,"")</f>
        <v>13.84</v>
      </c>
    </row>
    <row r="13" spans="2:29" ht="12.75">
      <c r="B13" s="196" t="s">
        <v>179</v>
      </c>
      <c r="C13">
        <v>11</v>
      </c>
      <c r="D13">
        <v>12</v>
      </c>
      <c r="E13" s="117" t="s">
        <v>156</v>
      </c>
      <c r="F13" s="117" t="s">
        <v>157</v>
      </c>
      <c r="I13" s="138">
        <f ca="1" t="shared" si="18"/>
        <v>0.3597222222222222</v>
      </c>
      <c r="J13" s="138">
        <f ca="1" t="shared" si="19"/>
        <v>0.4097222222222222</v>
      </c>
      <c r="K13" s="152">
        <f t="shared" si="20"/>
        <v>71.99999999999999</v>
      </c>
      <c r="L13" s="147">
        <f ca="1" t="shared" si="21"/>
      </c>
      <c r="M13" s="148">
        <f ca="1" t="shared" si="22"/>
      </c>
      <c r="N13" s="148">
        <f t="shared" si="23"/>
      </c>
      <c r="O13" s="144">
        <f t="shared" si="24"/>
      </c>
      <c r="P13" s="142">
        <f ca="1" t="shared" si="25"/>
      </c>
      <c r="Q13" s="143">
        <f ca="1" t="shared" si="26"/>
      </c>
      <c r="R13" s="143">
        <f t="shared" si="27"/>
      </c>
      <c r="S13" s="163">
        <f t="shared" si="28"/>
      </c>
      <c r="T13" s="115">
        <f t="shared" si="29"/>
      </c>
      <c r="U13" s="30">
        <f t="shared" si="30"/>
      </c>
      <c r="V13" s="157">
        <f t="shared" si="31"/>
      </c>
      <c r="W13" s="149">
        <f t="shared" si="32"/>
      </c>
      <c r="X13" s="150">
        <f ca="1" t="shared" si="33"/>
        <v>12</v>
      </c>
      <c r="Y13" s="150">
        <f ca="1" t="shared" si="34"/>
        <v>4</v>
      </c>
      <c r="Z13" s="150">
        <f>IF(AND(ISNUMBER(X13),ISNUMBER(Y13)),VLOOKUP(X13,Bars!$A$2:$C$14,2)-VLOOKUP(Y13,Bars!$A$2:$C$14,3),"")</f>
        <v>136</v>
      </c>
      <c r="AA13" s="150">
        <f>IF(AND(ISNUMBER(X13),ISNUMBER(Y13)),VLOOKUP(X13,Bars!$A$2:$C$14,3)-VLOOKUP(Y13,Bars!$A$2:$C$14,2),"")</f>
        <v>175</v>
      </c>
      <c r="AB13" s="151">
        <f t="shared" si="35"/>
        <v>10.88</v>
      </c>
      <c r="AC13" s="159">
        <f t="shared" si="36"/>
        <v>14</v>
      </c>
    </row>
    <row r="14" spans="2:29" ht="12.75">
      <c r="B14" s="196" t="s">
        <v>144</v>
      </c>
      <c r="C14">
        <v>11</v>
      </c>
      <c r="D14">
        <v>12</v>
      </c>
      <c r="E14" s="117" t="s">
        <v>156</v>
      </c>
      <c r="F14" s="117" t="s">
        <v>157</v>
      </c>
      <c r="G14" s="117" t="s">
        <v>154</v>
      </c>
      <c r="H14" s="135" t="s">
        <v>155</v>
      </c>
      <c r="I14" s="138">
        <f ca="1" t="shared" si="18"/>
        <v>0.4152777777777778</v>
      </c>
      <c r="J14" s="138">
        <f ca="1" t="shared" si="19"/>
        <v>0.4777777777777778</v>
      </c>
      <c r="K14" s="152">
        <f t="shared" si="20"/>
        <v>90</v>
      </c>
      <c r="L14" s="147">
        <f ca="1" t="shared" si="21"/>
        <v>57.5</v>
      </c>
      <c r="M14" s="148">
        <f ca="1" t="shared" si="22"/>
        <v>109.3</v>
      </c>
      <c r="N14" s="148">
        <f t="shared" si="23"/>
        <v>51.8</v>
      </c>
      <c r="O14" s="144">
        <f t="shared" si="24"/>
        <v>34.53333333333333</v>
      </c>
      <c r="P14" s="142">
        <f ca="1" t="shared" si="25"/>
        <v>245</v>
      </c>
      <c r="Q14" s="143">
        <f ca="1" t="shared" si="26"/>
        <v>92</v>
      </c>
      <c r="R14" s="143">
        <f t="shared" si="27"/>
        <v>153</v>
      </c>
      <c r="S14" s="163">
        <f t="shared" si="28"/>
        <v>12.24</v>
      </c>
      <c r="T14" s="115">
        <f t="shared" si="29"/>
        <v>4.23202614379085</v>
      </c>
      <c r="U14" s="30">
        <f t="shared" si="30"/>
        <v>236.29343629343632</v>
      </c>
      <c r="V14" s="157">
        <f t="shared" si="31"/>
        <v>0.5444839857651246</v>
      </c>
      <c r="W14" s="149">
        <f t="shared" si="32"/>
        <v>7.65</v>
      </c>
      <c r="X14" s="150">
        <f ca="1" t="shared" si="33"/>
        <v>11</v>
      </c>
      <c r="Y14" s="150">
        <f ca="1" t="shared" si="34"/>
        <v>3</v>
      </c>
      <c r="Z14" s="150">
        <f>IF(AND(ISNUMBER(X14),ISNUMBER(Y14)),VLOOKUP(X14,Bars!$A$2:$C$14,2)-VLOOKUP(Y14,Bars!$A$2:$C$14,3),"")</f>
        <v>134</v>
      </c>
      <c r="AA14" s="150">
        <f>IF(AND(ISNUMBER(X14),ISNUMBER(Y14)),VLOOKUP(X14,Bars!$A$2:$C$14,3)-VLOOKUP(Y14,Bars!$A$2:$C$14,2),"")</f>
        <v>173</v>
      </c>
      <c r="AB14" s="151">
        <f t="shared" si="35"/>
        <v>10.72</v>
      </c>
      <c r="AC14" s="159">
        <f t="shared" si="36"/>
        <v>13.84</v>
      </c>
    </row>
    <row r="15" spans="2:29" ht="12.75">
      <c r="B15" s="196" t="s">
        <v>180</v>
      </c>
      <c r="C15">
        <v>11</v>
      </c>
      <c r="D15">
        <v>12</v>
      </c>
      <c r="E15" s="117" t="s">
        <v>156</v>
      </c>
      <c r="F15" s="117" t="s">
        <v>157</v>
      </c>
      <c r="H15" s="135" t="s">
        <v>155</v>
      </c>
      <c r="I15" s="138">
        <f ca="1" t="shared" si="18"/>
        <v>0.45555555555555555</v>
      </c>
      <c r="J15" s="138">
        <f ca="1" t="shared" si="19"/>
        <v>0.5</v>
      </c>
      <c r="K15" s="152">
        <f t="shared" si="20"/>
        <v>64.00000000000001</v>
      </c>
      <c r="L15" s="147">
        <f ca="1" t="shared" si="21"/>
        <v>49.8</v>
      </c>
      <c r="M15" s="148">
        <f ca="1" t="shared" si="22"/>
        <v>101</v>
      </c>
      <c r="N15" s="148">
        <f t="shared" si="23"/>
        <v>51.2</v>
      </c>
      <c r="O15" s="144">
        <f t="shared" si="24"/>
        <v>47.99999999999999</v>
      </c>
      <c r="P15" s="142">
        <f ca="1" t="shared" si="25"/>
      </c>
      <c r="Q15" s="143">
        <f ca="1" t="shared" si="26"/>
      </c>
      <c r="R15" s="143">
        <f t="shared" si="27"/>
      </c>
      <c r="S15" s="163">
        <f t="shared" si="28"/>
      </c>
      <c r="T15" s="115">
        <f t="shared" si="29"/>
      </c>
      <c r="U15" s="30">
        <f t="shared" si="30"/>
      </c>
      <c r="V15" s="157">
        <f t="shared" si="31"/>
      </c>
      <c r="W15" s="149">
        <f t="shared" si="32"/>
      </c>
      <c r="X15" s="150">
        <f ca="1" t="shared" si="33"/>
        <v>12</v>
      </c>
      <c r="Y15" s="150">
        <f ca="1" t="shared" si="34"/>
        <v>3</v>
      </c>
      <c r="Z15" s="150">
        <f>IF(AND(ISNUMBER(X15),ISNUMBER(Y15)),VLOOKUP(X15,Bars!$A$2:$C$14,2)-VLOOKUP(Y15,Bars!$A$2:$C$14,3),"")</f>
        <v>155</v>
      </c>
      <c r="AA15" s="150">
        <f>IF(AND(ISNUMBER(X15),ISNUMBER(Y15)),VLOOKUP(X15,Bars!$A$2:$C$14,3)-VLOOKUP(Y15,Bars!$A$2:$C$14,2),"")</f>
        <v>195</v>
      </c>
      <c r="AB15" s="151">
        <f t="shared" si="35"/>
        <v>12.4</v>
      </c>
      <c r="AC15" s="159">
        <f t="shared" si="36"/>
        <v>15.6</v>
      </c>
    </row>
    <row r="16" spans="2:29" ht="12.75">
      <c r="B16" s="196" t="s">
        <v>145</v>
      </c>
      <c r="C16">
        <v>11</v>
      </c>
      <c r="D16">
        <v>12</v>
      </c>
      <c r="E16" s="117" t="s">
        <v>156</v>
      </c>
      <c r="F16" s="117" t="s">
        <v>157</v>
      </c>
      <c r="G16" s="117" t="s">
        <v>154</v>
      </c>
      <c r="H16" s="135" t="s">
        <v>155</v>
      </c>
      <c r="I16" s="138">
        <f ca="1" t="shared" si="18"/>
        <v>0.47152777777777777</v>
      </c>
      <c r="J16" s="138">
        <f ca="1" t="shared" si="19"/>
        <v>0.5125</v>
      </c>
      <c r="K16" s="152">
        <f t="shared" si="20"/>
        <v>58.99999999999995</v>
      </c>
      <c r="L16" s="147">
        <f ca="1" t="shared" si="21"/>
        <v>0</v>
      </c>
      <c r="M16" s="148">
        <f ca="1" t="shared" si="22"/>
        <v>50.9</v>
      </c>
      <c r="N16" s="148">
        <f t="shared" si="23"/>
        <v>50.9</v>
      </c>
      <c r="O16" s="144">
        <f t="shared" si="24"/>
        <v>51.762711864406825</v>
      </c>
      <c r="P16" s="142">
        <f ca="1" t="shared" si="25"/>
        <v>249</v>
      </c>
      <c r="Q16" s="143">
        <f ca="1" t="shared" si="26"/>
        <v>89</v>
      </c>
      <c r="R16" s="143">
        <f t="shared" si="27"/>
        <v>160</v>
      </c>
      <c r="S16" s="163">
        <f t="shared" si="28"/>
        <v>12.8</v>
      </c>
      <c r="T16" s="115">
        <f t="shared" si="29"/>
        <v>3.9765624999999996</v>
      </c>
      <c r="U16" s="30">
        <f t="shared" si="30"/>
        <v>251.47347740667976</v>
      </c>
      <c r="V16" s="157">
        <f t="shared" si="31"/>
        <v>0.5693950177935944</v>
      </c>
      <c r="W16" s="149">
        <f t="shared" si="32"/>
        <v>8</v>
      </c>
      <c r="X16" s="150">
        <f ca="1" t="shared" si="33"/>
        <v>11</v>
      </c>
      <c r="Y16" s="150">
        <f ca="1" t="shared" si="34"/>
        <v>3</v>
      </c>
      <c r="Z16" s="150">
        <f>IF(AND(ISNUMBER(X16),ISNUMBER(Y16)),VLOOKUP(X16,Bars!$A$2:$C$14,2)-VLOOKUP(Y16,Bars!$A$2:$C$14,3),"")</f>
        <v>134</v>
      </c>
      <c r="AA16" s="150">
        <f>IF(AND(ISNUMBER(X16),ISNUMBER(Y16)),VLOOKUP(X16,Bars!$A$2:$C$14,3)-VLOOKUP(Y16,Bars!$A$2:$C$14,2),"")</f>
        <v>173</v>
      </c>
      <c r="AB16" s="151">
        <f t="shared" si="35"/>
        <v>10.72</v>
      </c>
      <c r="AC16" s="159">
        <f t="shared" si="36"/>
        <v>13.84</v>
      </c>
    </row>
    <row r="17" spans="2:29" ht="12.75">
      <c r="B17" s="196" t="s">
        <v>146</v>
      </c>
      <c r="C17">
        <v>16</v>
      </c>
      <c r="D17">
        <v>17</v>
      </c>
      <c r="E17" s="117" t="s">
        <v>156</v>
      </c>
      <c r="F17" s="117" t="s">
        <v>157</v>
      </c>
      <c r="G17" s="117" t="s">
        <v>154</v>
      </c>
      <c r="H17" s="135" t="s">
        <v>155</v>
      </c>
      <c r="I17" s="138">
        <f ca="1" t="shared" si="18"/>
        <v>0.5055555555555555</v>
      </c>
      <c r="J17" s="138">
        <f ca="1">IF(ISBLANK($E17),"",INDIRECT($B17&amp;"!"&amp;$E17&amp;$D17)+0.5)</f>
        <v>0.5451388888888888</v>
      </c>
      <c r="K17" s="152">
        <f t="shared" si="20"/>
        <v>56.99999999999996</v>
      </c>
      <c r="L17" s="147">
        <f ca="1" t="shared" si="21"/>
        <v>69.1</v>
      </c>
      <c r="M17" s="148">
        <f ca="1" t="shared" si="22"/>
        <v>120</v>
      </c>
      <c r="N17" s="148">
        <f t="shared" si="23"/>
        <v>50.900000000000006</v>
      </c>
      <c r="O17" s="144">
        <f t="shared" si="24"/>
        <v>53.5789473684211</v>
      </c>
      <c r="P17" s="142">
        <f ca="1" t="shared" si="25"/>
        <v>268</v>
      </c>
      <c r="Q17" s="143">
        <f ca="1" t="shared" si="26"/>
        <v>82</v>
      </c>
      <c r="R17" s="143">
        <f t="shared" si="27"/>
        <v>186</v>
      </c>
      <c r="S17" s="163">
        <f t="shared" si="28"/>
        <v>14.88</v>
      </c>
      <c r="T17" s="115">
        <f t="shared" si="29"/>
        <v>3.420698924731183</v>
      </c>
      <c r="U17" s="30">
        <f t="shared" si="30"/>
        <v>292.33791748526517</v>
      </c>
      <c r="V17" s="157">
        <f t="shared" si="31"/>
        <v>0.6619217081850534</v>
      </c>
      <c r="W17" s="149">
        <f t="shared" si="32"/>
        <v>9.3</v>
      </c>
      <c r="X17" s="150">
        <f ca="1" t="shared" si="33"/>
        <v>12</v>
      </c>
      <c r="Y17" s="150">
        <f ca="1" t="shared" si="34"/>
        <v>2</v>
      </c>
      <c r="Z17" s="150">
        <f>IF(AND(ISNUMBER(X17),ISNUMBER(Y17)),VLOOKUP(X17,Bars!$A$2:$C$14,2)-VLOOKUP(Y17,Bars!$A$2:$C$14,3),"")</f>
        <v>175</v>
      </c>
      <c r="AA17" s="150">
        <f>IF(AND(ISNUMBER(X17),ISNUMBER(Y17)),VLOOKUP(X17,Bars!$A$2:$C$14,3)-VLOOKUP(Y17,Bars!$A$2:$C$14,2),"")</f>
        <v>220</v>
      </c>
      <c r="AB17" s="151">
        <f t="shared" si="35"/>
        <v>14</v>
      </c>
      <c r="AC17" s="159">
        <f t="shared" si="36"/>
        <v>17.6</v>
      </c>
    </row>
    <row r="18" spans="2:29" ht="12.75">
      <c r="B18" s="196" t="s">
        <v>181</v>
      </c>
      <c r="C18">
        <v>11</v>
      </c>
      <c r="D18">
        <v>12</v>
      </c>
      <c r="E18" s="117" t="s">
        <v>156</v>
      </c>
      <c r="F18" s="117" t="s">
        <v>157</v>
      </c>
      <c r="H18" s="135" t="s">
        <v>155</v>
      </c>
      <c r="I18" s="138">
        <f ca="1" t="shared" si="18"/>
        <v>0.07916666666666666</v>
      </c>
      <c r="J18" s="138">
        <f ca="1" t="shared" si="19"/>
        <v>0.13819444444444443</v>
      </c>
      <c r="K18" s="152">
        <f t="shared" si="20"/>
        <v>84.99999999999997</v>
      </c>
      <c r="L18" s="147">
        <f ca="1" t="shared" si="21"/>
        <v>56.1</v>
      </c>
      <c r="M18" s="148">
        <f ca="1" t="shared" si="22"/>
        <v>110</v>
      </c>
      <c r="N18" s="148">
        <f t="shared" si="23"/>
        <v>53.9</v>
      </c>
      <c r="O18" s="144">
        <f t="shared" si="24"/>
        <v>38.04705882352942</v>
      </c>
      <c r="P18" s="142">
        <f ca="1" t="shared" si="25"/>
      </c>
      <c r="Q18" s="143">
        <f ca="1" t="shared" si="26"/>
      </c>
      <c r="R18" s="143">
        <f t="shared" si="27"/>
      </c>
      <c r="S18" s="163">
        <f t="shared" si="28"/>
      </c>
      <c r="T18" s="115">
        <f t="shared" si="29"/>
      </c>
      <c r="U18" s="30">
        <f t="shared" si="30"/>
      </c>
      <c r="V18" s="157">
        <f t="shared" si="31"/>
      </c>
      <c r="W18" s="149">
        <f t="shared" si="32"/>
      </c>
      <c r="X18" s="150">
        <f ca="1" t="shared" si="33"/>
        <v>11</v>
      </c>
      <c r="Y18" s="150">
        <f ca="1" t="shared" si="34"/>
        <v>4</v>
      </c>
      <c r="Z18" s="150">
        <f>IF(AND(ISNUMBER(X18),ISNUMBER(Y18)),VLOOKUP(X18,Bars!$A$2:$C$14,2)-VLOOKUP(Y18,Bars!$A$2:$C$14,3),"")</f>
        <v>115</v>
      </c>
      <c r="AA18" s="150">
        <f>IF(AND(ISNUMBER(X18),ISNUMBER(Y18)),VLOOKUP(X18,Bars!$A$2:$C$14,3)-VLOOKUP(Y18,Bars!$A$2:$C$14,2),"")</f>
        <v>153</v>
      </c>
      <c r="AB18" s="151">
        <f t="shared" si="35"/>
        <v>9.200000000000001</v>
      </c>
      <c r="AC18" s="159">
        <f t="shared" si="36"/>
        <v>12.24</v>
      </c>
    </row>
    <row r="19" ht="12.75">
      <c r="A19" s="126" t="s">
        <v>182</v>
      </c>
    </row>
    <row r="20" spans="2:29" ht="12.75">
      <c r="B20" s="196" t="s">
        <v>144</v>
      </c>
      <c r="C20">
        <v>11</v>
      </c>
      <c r="D20">
        <v>40</v>
      </c>
      <c r="E20" s="117" t="s">
        <v>156</v>
      </c>
      <c r="G20" s="117" t="s">
        <v>154</v>
      </c>
      <c r="H20" s="135" t="s">
        <v>155</v>
      </c>
      <c r="I20" s="138">
        <f ca="1">IF(ISBLANK($E20),"",INDIRECT($B20&amp;"!"&amp;$E20&amp;$C20))</f>
        <v>0.4152777777777778</v>
      </c>
      <c r="J20" s="138">
        <f ca="1">IF(ISBLANK($E20),"",INDIRECT($B20&amp;"!"&amp;$E20&amp;$D20))</f>
        <v>0.43263888888888885</v>
      </c>
      <c r="K20" s="152">
        <f>IF(AND(ISNUMBER(I20),ISNUMBER(J20)),(J20-I20)*24*60,"")</f>
        <v>24.99999999999991</v>
      </c>
      <c r="L20" s="147">
        <f ca="1">IF(ISBLANK($H20),"",INDIRECT($B20&amp;"!"&amp;$H20&amp;$C20))</f>
        <v>57.5</v>
      </c>
      <c r="M20" s="148">
        <f ca="1">IF(ISBLANK($H20),"",INDIRECT($B20&amp;"!"&amp;$H20&amp;$D20))</f>
        <v>73.8</v>
      </c>
      <c r="N20" s="148">
        <f>IF(AND(ISNUMBER(L20),ISNUMBER(M20)),M20-L20,"")</f>
        <v>16.299999999999997</v>
      </c>
      <c r="O20" s="144">
        <f>IF(AND(ISNUMBER(K20),ISNUMBER(N20)),N20/(K20/60),"")</f>
        <v>39.12000000000013</v>
      </c>
      <c r="P20" s="142">
        <f ca="1">IF(ISBLANK($G20),"",INDIRECT($B20&amp;"!"&amp;$G20&amp;$C20))</f>
        <v>245</v>
      </c>
      <c r="Q20" s="143">
        <f ca="1">IF(ISBLANK($G20),"",INDIRECT($B20&amp;"!"&amp;$G20&amp;$D20))</f>
        <v>142</v>
      </c>
      <c r="R20" s="143">
        <f>IF(AND(ISNUMBER(P20),ISNUMBER(Q20)),P20-Q20,"")</f>
        <v>103</v>
      </c>
      <c r="S20" s="163">
        <f>IF(ISNUMBER(R20),R20*0.08,"")</f>
        <v>8.24</v>
      </c>
      <c r="T20" s="115">
        <f>IF(AND(ISNUMBER(N20),ISNUMBER(S20)),N20/S20,"")</f>
        <v>1.978155339805825</v>
      </c>
      <c r="U20" s="30">
        <f>IF(AND(ISNUMBER(S20),ISNUMBER(N20)),S20*1000/N20,"")</f>
        <v>505.52147239263815</v>
      </c>
      <c r="V20" s="157">
        <f>IF(ISNUMBER(R20),R20/281,"")</f>
        <v>0.3665480427046263</v>
      </c>
      <c r="W20" s="149">
        <f>IF(ISNUMBER(R20),R20/20,"")</f>
        <v>5.15</v>
      </c>
      <c r="X20" s="150">
        <f ca="1">IF(ISBLANK($F20),"",INDIRECT($B20&amp;"!"&amp;$F20&amp;$C20))</f>
      </c>
      <c r="Y20" s="150">
        <f ca="1">IF(ISBLANK($F20),"",INDIRECT($B20&amp;"!"&amp;$F20&amp;$D20))</f>
      </c>
      <c r="Z20" s="150">
        <f>IF(AND(ISNUMBER(X20),ISNUMBER(Y20)),VLOOKUP(X20,Bars!$A$2:$C$14,2)-VLOOKUP(Y20,Bars!$A$2:$C$14,3),"")</f>
      </c>
      <c r="AA20" s="150">
        <f>IF(AND(ISNUMBER(X20),ISNUMBER(Y20)),VLOOKUP(X20,Bars!$A$2:$C$14,3)-VLOOKUP(Y20,Bars!$A$2:$C$14,2),"")</f>
      </c>
      <c r="AB20" s="151">
        <f>IF(ISNUMBER(Z20),Z20*0.08,"")</f>
      </c>
      <c r="AC20" s="159">
        <f>IF(ISNUMBER(AA20),AA20*0.08,"")</f>
      </c>
    </row>
    <row r="21" spans="2:29" ht="12.75">
      <c r="B21" s="196" t="s">
        <v>145</v>
      </c>
      <c r="C21">
        <v>11</v>
      </c>
      <c r="D21">
        <v>41</v>
      </c>
      <c r="G21" s="117" t="s">
        <v>154</v>
      </c>
      <c r="H21" s="135" t="s">
        <v>155</v>
      </c>
      <c r="I21" s="138">
        <f ca="1">IF(ISBLANK($E21),"",INDIRECT($B21&amp;"!"&amp;$E21&amp;$C21))</f>
      </c>
      <c r="J21" s="138">
        <f ca="1">IF(ISBLANK($E21),"",INDIRECT($B21&amp;"!"&amp;$E21&amp;$D21))</f>
      </c>
      <c r="K21" s="152">
        <f>IF(AND(ISNUMBER(I21),ISNUMBER(J21)),(J21-I21)*24*60,"")</f>
      </c>
      <c r="L21" s="147">
        <f ca="1">IF(ISBLANK($H21),"",INDIRECT($B21&amp;"!"&amp;$H21&amp;$C21))</f>
        <v>0</v>
      </c>
      <c r="M21" s="148">
        <f ca="1">IF(ISBLANK($H21),"",INDIRECT($B21&amp;"!"&amp;$H21&amp;$D21))</f>
        <v>16.3</v>
      </c>
      <c r="N21" s="148">
        <f>IF(AND(ISNUMBER(L21),ISNUMBER(M21)),M21-L21,"")</f>
        <v>16.3</v>
      </c>
      <c r="O21" s="144">
        <f>IF(AND(ISNUMBER(K21),ISNUMBER(N21)),N21/(K21/60),"")</f>
      </c>
      <c r="P21" s="142">
        <f ca="1">IF(ISBLANK($G21),"",INDIRECT($B21&amp;"!"&amp;$G21&amp;$C21))</f>
        <v>249</v>
      </c>
      <c r="Q21" s="143">
        <f ca="1">IF(ISBLANK($G21),"",INDIRECT($B21&amp;"!"&amp;$G21&amp;$D21))</f>
        <v>146</v>
      </c>
      <c r="R21" s="143">
        <f>IF(AND(ISNUMBER(P21),ISNUMBER(Q21)),P21-Q21,"")</f>
        <v>103</v>
      </c>
      <c r="S21" s="163">
        <f>IF(ISNUMBER(R21),R21*0.08,"")</f>
        <v>8.24</v>
      </c>
      <c r="T21" s="115">
        <f>IF(AND(ISNUMBER(N21),ISNUMBER(S21)),N21/S21,"")</f>
        <v>1.9781553398058254</v>
      </c>
      <c r="U21" s="30">
        <f>IF(AND(ISNUMBER(S21),ISNUMBER(N21)),S21*1000/N21,"")</f>
        <v>505.52147239263803</v>
      </c>
      <c r="V21" s="157">
        <f>IF(ISNUMBER(R21),R21/281,"")</f>
        <v>0.3665480427046263</v>
      </c>
      <c r="W21" s="149">
        <f>IF(ISNUMBER(R21),R21/20,"")</f>
        <v>5.15</v>
      </c>
      <c r="X21" s="150">
        <f ca="1">IF(ISBLANK($F21),"",INDIRECT($B21&amp;"!"&amp;$F21&amp;$C21))</f>
      </c>
      <c r="Y21" s="150">
        <f ca="1">IF(ISBLANK($F21),"",INDIRECT($B21&amp;"!"&amp;$F21&amp;$D21))</f>
      </c>
      <c r="Z21" s="150">
        <f>IF(AND(ISNUMBER(X21),ISNUMBER(Y21)),VLOOKUP(X21,Bars!$A$2:$C$14,2)-VLOOKUP(Y21,Bars!$A$2:$C$14,3),"")</f>
      </c>
      <c r="AA21" s="150">
        <f>IF(AND(ISNUMBER(X21),ISNUMBER(Y21)),VLOOKUP(X21,Bars!$A$2:$C$14,3)-VLOOKUP(Y21,Bars!$A$2:$C$14,2),"")</f>
      </c>
      <c r="AB21" s="151">
        <f>IF(ISNUMBER(Z21),Z21*0.08,"")</f>
      </c>
      <c r="AC21" s="159">
        <f>IF(ISNUMBER(AA21),AA21*0.08,"")</f>
      </c>
    </row>
    <row r="22" ht="12.75">
      <c r="A22" s="126" t="s">
        <v>185</v>
      </c>
    </row>
    <row r="23" spans="2:29" ht="12.75">
      <c r="B23" s="196" t="s">
        <v>178</v>
      </c>
      <c r="C23">
        <v>15</v>
      </c>
      <c r="D23">
        <v>22</v>
      </c>
      <c r="F23" s="117" t="s">
        <v>157</v>
      </c>
      <c r="H23" s="135" t="s">
        <v>155</v>
      </c>
      <c r="I23" s="138">
        <f ca="1" t="shared" si="18"/>
      </c>
      <c r="J23" s="138">
        <f ca="1" t="shared" si="19"/>
      </c>
      <c r="K23" s="152">
        <f>IF(AND(ISNUMBER(I23),ISNUMBER(J23)),(J23-I23)*24*60,"")</f>
      </c>
      <c r="L23" s="147">
        <f ca="1" t="shared" si="21"/>
        <v>120.5</v>
      </c>
      <c r="M23" s="148">
        <f ca="1" t="shared" si="22"/>
        <v>142.9</v>
      </c>
      <c r="N23" s="148">
        <f>IF(AND(ISNUMBER(L23),ISNUMBER(M23)),M23-L23,"")</f>
        <v>22.400000000000006</v>
      </c>
      <c r="O23" s="144">
        <f>IF(AND(ISNUMBER(K23),ISNUMBER(N23)),N23/(K23/60),"")</f>
      </c>
      <c r="P23" s="142">
        <f ca="1" t="shared" si="25"/>
      </c>
      <c r="Q23" s="143">
        <f ca="1" t="shared" si="26"/>
      </c>
      <c r="R23" s="143">
        <f>IF(AND(ISNUMBER(P23),ISNUMBER(Q23)),P23-Q23,"")</f>
      </c>
      <c r="S23" s="163">
        <f t="shared" si="28"/>
      </c>
      <c r="T23" s="115">
        <f>IF(AND(ISNUMBER(N23),ISNUMBER(S23)),N23/S23,"")</f>
      </c>
      <c r="U23" s="30">
        <f>IF(AND(ISNUMBER(S23),ISNUMBER(N23)),S23*1000/N23,"")</f>
      </c>
      <c r="V23" s="157">
        <f>IF(ISNUMBER(R23),R23/281,"")</f>
      </c>
      <c r="W23" s="149">
        <f>IF(ISNUMBER(R23),R23/20,"")</f>
      </c>
      <c r="X23" s="150">
        <f ca="1" t="shared" si="33"/>
        <v>10</v>
      </c>
      <c r="Y23" s="150">
        <f ca="1" t="shared" si="34"/>
        <v>9</v>
      </c>
      <c r="Z23" s="150">
        <f>IF(AND(ISNUMBER(X23),ISNUMBER(Y23)),VLOOKUP(X23,Bars!$A$2:$C$14,2)-VLOOKUP(Y23,Bars!$A$2:$C$14,3),"")</f>
        <v>1</v>
      </c>
      <c r="AA23" s="150">
        <f>IF(AND(ISNUMBER(X23),ISNUMBER(Y23)),VLOOKUP(X23,Bars!$A$2:$C$14,3)-VLOOKUP(Y23,Bars!$A$2:$C$14,2),"")</f>
        <v>36</v>
      </c>
      <c r="AB23" s="151">
        <f aca="true" t="shared" si="37" ref="AB23:AC27">IF(ISNUMBER(Z23),Z23*0.08,"")</f>
        <v>0.08</v>
      </c>
      <c r="AC23" s="159">
        <f t="shared" si="37"/>
        <v>2.88</v>
      </c>
    </row>
    <row r="24" spans="2:29" ht="12.75">
      <c r="B24" s="196" t="s">
        <v>144</v>
      </c>
      <c r="C24">
        <v>15</v>
      </c>
      <c r="D24">
        <v>16</v>
      </c>
      <c r="E24" s="117" t="s">
        <v>156</v>
      </c>
      <c r="F24" s="117" t="s">
        <v>157</v>
      </c>
      <c r="G24" s="117" t="s">
        <v>154</v>
      </c>
      <c r="H24" s="135" t="s">
        <v>155</v>
      </c>
      <c r="I24" s="138">
        <f ca="1" t="shared" si="18"/>
        <v>0.08333333333333333</v>
      </c>
      <c r="J24" s="138">
        <f ca="1" t="shared" si="19"/>
        <v>0.1076388888888889</v>
      </c>
      <c r="K24" s="152">
        <f>IF(AND(ISNUMBER(I24),ISNUMBER(J24)),(J24-I24)*24*60,"")</f>
        <v>35.000000000000014</v>
      </c>
      <c r="L24" s="147">
        <f ca="1" t="shared" si="21"/>
        <v>109.3</v>
      </c>
      <c r="M24" s="148">
        <f ca="1" t="shared" si="22"/>
        <v>129.9</v>
      </c>
      <c r="N24" s="148">
        <f>IF(AND(ISNUMBER(L24),ISNUMBER(M24)),M24-L24,"")</f>
        <v>20.60000000000001</v>
      </c>
      <c r="O24" s="144">
        <f>IF(AND(ISNUMBER(K24),ISNUMBER(N24)),N24/(K24/60),"")</f>
        <v>35.31428571428572</v>
      </c>
      <c r="P24" s="142">
        <f ca="1" t="shared" si="25"/>
        <v>244</v>
      </c>
      <c r="Q24" s="143">
        <f ca="1" t="shared" si="26"/>
        <v>214</v>
      </c>
      <c r="R24" s="143">
        <f>IF(AND(ISNUMBER(P24),ISNUMBER(Q24)),P24-Q24,"")</f>
        <v>30</v>
      </c>
      <c r="S24" s="163">
        <f t="shared" si="28"/>
        <v>2.4</v>
      </c>
      <c r="T24" s="115">
        <f>IF(AND(ISNUMBER(N24),ISNUMBER(S24)),N24/S24,"")</f>
        <v>8.583333333333337</v>
      </c>
      <c r="U24" s="30">
        <f>IF(AND(ISNUMBER(S24),ISNUMBER(N24)),S24*1000/N24,"")</f>
        <v>116.50485436893199</v>
      </c>
      <c r="V24" s="157">
        <f>IF(ISNUMBER(R24),R24/281,"")</f>
        <v>0.10676156583629894</v>
      </c>
      <c r="W24" s="149">
        <f>IF(ISNUMBER(R24),R24/20,"")</f>
        <v>1.5</v>
      </c>
      <c r="X24" s="150">
        <f ca="1" t="shared" si="33"/>
        <v>10</v>
      </c>
      <c r="Y24" s="150">
        <f ca="1" t="shared" si="34"/>
        <v>9</v>
      </c>
      <c r="Z24" s="150">
        <f>IF(AND(ISNUMBER(X24),ISNUMBER(Y24)),VLOOKUP(X24,Bars!$A$2:$C$14,2)-VLOOKUP(Y24,Bars!$A$2:$C$14,3),"")</f>
        <v>1</v>
      </c>
      <c r="AA24" s="150">
        <f>IF(AND(ISNUMBER(X24),ISNUMBER(Y24)),VLOOKUP(X24,Bars!$A$2:$C$14,3)-VLOOKUP(Y24,Bars!$A$2:$C$14,2),"")</f>
        <v>36</v>
      </c>
      <c r="AB24" s="151">
        <f t="shared" si="37"/>
        <v>0.08</v>
      </c>
      <c r="AC24" s="159">
        <f t="shared" si="37"/>
        <v>2.88</v>
      </c>
    </row>
    <row r="25" spans="2:29" ht="12.75">
      <c r="B25" s="196" t="s">
        <v>180</v>
      </c>
      <c r="C25">
        <v>15</v>
      </c>
      <c r="D25">
        <v>16</v>
      </c>
      <c r="E25" s="117" t="s">
        <v>156</v>
      </c>
      <c r="F25" s="117" t="s">
        <v>157</v>
      </c>
      <c r="H25" s="135" t="s">
        <v>155</v>
      </c>
      <c r="I25" s="138">
        <f ca="1" t="shared" si="18"/>
        <v>0.5812499999999999</v>
      </c>
      <c r="J25" s="138">
        <f ca="1" t="shared" si="19"/>
        <v>0.6041666666666666</v>
      </c>
      <c r="K25" s="152">
        <f>IF(AND(ISNUMBER(I25),ISNUMBER(J25)),(J25-I25)*24*60,"")</f>
        <v>33.00000000000004</v>
      </c>
      <c r="L25" s="147">
        <f ca="1" t="shared" si="21"/>
        <v>101.1</v>
      </c>
      <c r="M25" s="148">
        <f ca="1" t="shared" si="22"/>
        <v>121.6</v>
      </c>
      <c r="N25" s="148">
        <f>IF(AND(ISNUMBER(L25),ISNUMBER(M25)),M25-L25,"")</f>
        <v>20.5</v>
      </c>
      <c r="O25" s="144">
        <f>IF(AND(ISNUMBER(K25),ISNUMBER(N25)),N25/(K25/60),"")</f>
        <v>37.272727272727224</v>
      </c>
      <c r="P25" s="142">
        <f ca="1" t="shared" si="25"/>
      </c>
      <c r="Q25" s="143">
        <f ca="1" t="shared" si="26"/>
      </c>
      <c r="R25" s="143">
        <f>IF(AND(ISNUMBER(P25),ISNUMBER(Q25)),P25-Q25,"")</f>
      </c>
      <c r="S25" s="163">
        <f t="shared" si="28"/>
      </c>
      <c r="T25" s="115">
        <f>IF(AND(ISNUMBER(N25),ISNUMBER(S25)),N25/S25,"")</f>
      </c>
      <c r="U25" s="30">
        <f>IF(AND(ISNUMBER(S25),ISNUMBER(N25)),S25*1000/N25,"")</f>
      </c>
      <c r="V25" s="157">
        <f>IF(ISNUMBER(R25),R25/281,"")</f>
      </c>
      <c r="W25" s="149">
        <f>IF(ISNUMBER(R25),R25/20,"")</f>
      </c>
      <c r="X25" s="150">
        <f ca="1" t="shared" si="33"/>
        <v>10</v>
      </c>
      <c r="Y25" s="150">
        <f ca="1" t="shared" si="34"/>
        <v>8</v>
      </c>
      <c r="Z25" s="150">
        <f>IF(AND(ISNUMBER(X25),ISNUMBER(Y25)),VLOOKUP(X25,Bars!$A$2:$C$14,2)-VLOOKUP(Y25,Bars!$A$2:$C$14,3),"")</f>
        <v>22</v>
      </c>
      <c r="AA25" s="150">
        <f>IF(AND(ISNUMBER(X25),ISNUMBER(Y25)),VLOOKUP(X25,Bars!$A$2:$C$14,3)-VLOOKUP(Y25,Bars!$A$2:$C$14,2),"")</f>
        <v>53</v>
      </c>
      <c r="AB25" s="151">
        <f t="shared" si="37"/>
        <v>1.76</v>
      </c>
      <c r="AC25" s="159">
        <f t="shared" si="37"/>
        <v>4.24</v>
      </c>
    </row>
    <row r="26" spans="2:29" ht="12.75">
      <c r="B26" s="196" t="s">
        <v>145</v>
      </c>
      <c r="C26">
        <v>15</v>
      </c>
      <c r="D26">
        <v>16</v>
      </c>
      <c r="E26" s="117" t="s">
        <v>156</v>
      </c>
      <c r="F26" s="117" t="s">
        <v>157</v>
      </c>
      <c r="G26" s="117" t="s">
        <v>154</v>
      </c>
      <c r="H26" s="135" t="s">
        <v>155</v>
      </c>
      <c r="I26" s="138">
        <f ca="1" t="shared" si="18"/>
        <v>0.5944444444444444</v>
      </c>
      <c r="J26" s="138">
        <f ca="1" t="shared" si="19"/>
        <v>0.6166666666666667</v>
      </c>
      <c r="K26" s="152">
        <f>IF(AND(ISNUMBER(I26),ISNUMBER(J26)),(J26-I26)*24*60,"")</f>
        <v>32.00000000000004</v>
      </c>
      <c r="L26" s="147">
        <f ca="1" t="shared" si="21"/>
        <v>0</v>
      </c>
      <c r="M26" s="148">
        <f ca="1" t="shared" si="22"/>
        <v>20.5</v>
      </c>
      <c r="N26" s="148">
        <f>IF(AND(ISNUMBER(L26),ISNUMBER(M26)),M26-L26,"")</f>
        <v>20.5</v>
      </c>
      <c r="O26" s="144">
        <f>IF(AND(ISNUMBER(K26),ISNUMBER(N26)),N26/(K26/60),"")</f>
        <v>38.43749999999995</v>
      </c>
      <c r="P26" s="142">
        <f ca="1" t="shared" si="25"/>
        <v>224</v>
      </c>
      <c r="Q26" s="143">
        <f ca="1" t="shared" si="26"/>
        <v>193</v>
      </c>
      <c r="R26" s="143">
        <f>IF(AND(ISNUMBER(P26),ISNUMBER(Q26)),P26-Q26,"")</f>
        <v>31</v>
      </c>
      <c r="S26" s="163">
        <f t="shared" si="28"/>
        <v>2.48</v>
      </c>
      <c r="T26" s="115">
        <f>IF(AND(ISNUMBER(N26),ISNUMBER(S26)),N26/S26,"")</f>
        <v>8.266129032258064</v>
      </c>
      <c r="U26" s="30">
        <f>IF(AND(ISNUMBER(S26),ISNUMBER(N26)),S26*1000/N26,"")</f>
        <v>120.97560975609755</v>
      </c>
      <c r="V26" s="157">
        <f>IF(ISNUMBER(R26),R26/281,"")</f>
        <v>0.1103202846975089</v>
      </c>
      <c r="W26" s="149">
        <f>IF(ISNUMBER(R26),R26/20,"")</f>
        <v>1.55</v>
      </c>
      <c r="X26" s="150">
        <f ca="1" t="shared" si="33"/>
        <v>9</v>
      </c>
      <c r="Y26" s="150">
        <f ca="1" t="shared" si="34"/>
        <v>8</v>
      </c>
      <c r="Z26" s="150">
        <f>IF(AND(ISNUMBER(X26),ISNUMBER(Y26)),VLOOKUP(X26,Bars!$A$2:$C$14,2)-VLOOKUP(Y26,Bars!$A$2:$C$14,3),"")</f>
        <v>1</v>
      </c>
      <c r="AA26" s="150">
        <f>IF(AND(ISNUMBER(X26),ISNUMBER(Y26)),VLOOKUP(X26,Bars!$A$2:$C$14,3)-VLOOKUP(Y26,Bars!$A$2:$C$14,2),"")</f>
        <v>37</v>
      </c>
      <c r="AB26" s="151">
        <f t="shared" si="37"/>
        <v>0.08</v>
      </c>
      <c r="AC26" s="159">
        <f t="shared" si="37"/>
        <v>2.96</v>
      </c>
    </row>
    <row r="27" spans="2:29" ht="12.75">
      <c r="B27" s="196" t="s">
        <v>181</v>
      </c>
      <c r="C27">
        <v>15</v>
      </c>
      <c r="D27">
        <v>22</v>
      </c>
      <c r="H27" s="135" t="s">
        <v>155</v>
      </c>
      <c r="I27" s="138">
        <f ca="1" t="shared" si="18"/>
      </c>
      <c r="J27" s="138">
        <f ca="1" t="shared" si="19"/>
      </c>
      <c r="K27" s="152">
        <f>IF(AND(ISNUMBER(I27),ISNUMBER(J27)),(J27-I27)*24*60,"")</f>
      </c>
      <c r="L27" s="147">
        <f ca="1" t="shared" si="21"/>
        <v>110</v>
      </c>
      <c r="M27" s="148">
        <f ca="1" t="shared" si="22"/>
        <v>130</v>
      </c>
      <c r="N27" s="148">
        <f>IF(AND(ISNUMBER(L27),ISNUMBER(M27)),M27-L27,"")</f>
        <v>20</v>
      </c>
      <c r="O27" s="144">
        <f>IF(AND(ISNUMBER(K27),ISNUMBER(N27)),N27/(K27/60),"")</f>
      </c>
      <c r="P27" s="142">
        <f ca="1" t="shared" si="25"/>
      </c>
      <c r="Q27" s="143">
        <f ca="1" t="shared" si="26"/>
      </c>
      <c r="R27" s="143">
        <f>IF(AND(ISNUMBER(P27),ISNUMBER(Q27)),P27-Q27,"")</f>
      </c>
      <c r="S27" s="163">
        <f t="shared" si="28"/>
      </c>
      <c r="T27" s="115">
        <f>IF(AND(ISNUMBER(N27),ISNUMBER(S27)),N27/S27,"")</f>
      </c>
      <c r="U27" s="30">
        <f>IF(AND(ISNUMBER(S27),ISNUMBER(N27)),S27*1000/N27,"")</f>
      </c>
      <c r="V27" s="157">
        <f>IF(ISNUMBER(R27),R27/281,"")</f>
      </c>
      <c r="W27" s="149">
        <f>IF(ISNUMBER(R27),R27/20,"")</f>
      </c>
      <c r="X27" s="150">
        <f ca="1" t="shared" si="33"/>
      </c>
      <c r="Y27" s="150">
        <f ca="1" t="shared" si="34"/>
      </c>
      <c r="Z27" s="150">
        <f>IF(AND(ISNUMBER(X27),ISNUMBER(Y27)),VLOOKUP(X27,Bars!$A$2:$C$14,2)-VLOOKUP(Y27,Bars!$A$2:$C$14,3),"")</f>
      </c>
      <c r="AA27" s="150">
        <f>IF(AND(ISNUMBER(X27),ISNUMBER(Y27)),VLOOKUP(X27,Bars!$A$2:$C$14,3)-VLOOKUP(Y27,Bars!$A$2:$C$14,2),"")</f>
      </c>
      <c r="AB27" s="151">
        <f t="shared" si="37"/>
      </c>
      <c r="AC27" s="159">
        <f t="shared" si="37"/>
      </c>
    </row>
    <row r="28" ht="12.75">
      <c r="A28" s="126" t="s">
        <v>186</v>
      </c>
    </row>
    <row r="29" spans="2:29" ht="12.75">
      <c r="B29" s="196" t="s">
        <v>178</v>
      </c>
      <c r="C29">
        <v>25</v>
      </c>
      <c r="D29">
        <v>26</v>
      </c>
      <c r="E29" s="117" t="s">
        <v>156</v>
      </c>
      <c r="F29" s="117" t="s">
        <v>157</v>
      </c>
      <c r="H29" s="135" t="s">
        <v>155</v>
      </c>
      <c r="I29" s="138">
        <f ca="1" t="shared" si="18"/>
        <v>0.7243055555555555</v>
      </c>
      <c r="J29" s="138">
        <f ca="1" t="shared" si="19"/>
        <v>0.748611111111111</v>
      </c>
      <c r="K29" s="152">
        <f>IF(AND(ISNUMBER(I29),ISNUMBER(J29)),(J29-I29)*24*60,"")</f>
        <v>34.99999999999987</v>
      </c>
      <c r="L29" s="147">
        <f ca="1" t="shared" si="21"/>
        <v>142.9</v>
      </c>
      <c r="M29" s="148">
        <f ca="1" t="shared" si="22"/>
        <v>165.2</v>
      </c>
      <c r="N29" s="148">
        <f>IF(AND(ISNUMBER(L29),ISNUMBER(M29)),M29-L29,"")</f>
        <v>22.299999999999983</v>
      </c>
      <c r="O29" s="144">
        <f>IF(AND(ISNUMBER(K29),ISNUMBER(N29)),N29/(K29/60),"")</f>
        <v>38.22857142857154</v>
      </c>
      <c r="P29" s="142">
        <f ca="1" t="shared" si="25"/>
      </c>
      <c r="Q29" s="143">
        <f ca="1" t="shared" si="26"/>
      </c>
      <c r="R29" s="143">
        <f>IF(AND(ISNUMBER(P29),ISNUMBER(Q29)),P29-Q29,"")</f>
      </c>
      <c r="S29" s="163">
        <f t="shared" si="28"/>
      </c>
      <c r="T29" s="115">
        <f>IF(AND(ISNUMBER(N29),ISNUMBER(S29)),N29/S29,"")</f>
      </c>
      <c r="U29" s="30">
        <f>IF(AND(ISNUMBER(S29),ISNUMBER(N29)),S29*1000/N29,"")</f>
      </c>
      <c r="V29" s="157">
        <f>IF(ISNUMBER(R29),R29/281,"")</f>
      </c>
      <c r="W29" s="149">
        <f>IF(ISNUMBER(R29),R29/20,"")</f>
      </c>
      <c r="X29" s="150">
        <f ca="1" t="shared" si="33"/>
        <v>12</v>
      </c>
      <c r="Y29" s="150">
        <f ca="1" t="shared" si="34"/>
        <v>9</v>
      </c>
      <c r="Z29" s="150">
        <f>IF(AND(ISNUMBER(X29),ISNUMBER(Y29)),VLOOKUP(X29,Bars!$A$2:$C$14,2)-VLOOKUP(Y29,Bars!$A$2:$C$14,3),"")</f>
        <v>38</v>
      </c>
      <c r="AA29" s="150">
        <f>IF(AND(ISNUMBER(X29),ISNUMBER(Y29)),VLOOKUP(X29,Bars!$A$2:$C$14,3)-VLOOKUP(Y29,Bars!$A$2:$C$14,2),"")</f>
        <v>79</v>
      </c>
      <c r="AB29" s="151">
        <f aca="true" t="shared" si="38" ref="AB29:AC33">IF(ISNUMBER(Z29),Z29*0.08,"")</f>
        <v>3.04</v>
      </c>
      <c r="AC29" s="159">
        <f t="shared" si="38"/>
        <v>6.32</v>
      </c>
    </row>
    <row r="30" spans="2:29" ht="12.75">
      <c r="B30" s="196" t="s">
        <v>144</v>
      </c>
      <c r="C30">
        <v>25</v>
      </c>
      <c r="D30">
        <v>26</v>
      </c>
      <c r="E30" s="117" t="s">
        <v>156</v>
      </c>
      <c r="F30" s="117" t="s">
        <v>157</v>
      </c>
      <c r="G30" s="117" t="s">
        <v>154</v>
      </c>
      <c r="H30" s="135" t="s">
        <v>155</v>
      </c>
      <c r="I30" s="138">
        <f ca="1" t="shared" si="18"/>
        <v>0.3229166666666667</v>
      </c>
      <c r="J30" s="138">
        <f ca="1" t="shared" si="19"/>
        <v>0.34791666666666665</v>
      </c>
      <c r="K30" s="152">
        <f>IF(AND(ISNUMBER(I30),ISNUMBER(J30)),(J30-I30)*24*60,"")</f>
        <v>35.99999999999995</v>
      </c>
      <c r="L30" s="147">
        <f ca="1" t="shared" si="21"/>
        <v>0</v>
      </c>
      <c r="M30" s="148">
        <f ca="1" t="shared" si="22"/>
        <v>22.3</v>
      </c>
      <c r="N30" s="148">
        <f>IF(AND(ISNUMBER(L30),ISNUMBER(M30)),M30-L30,"")</f>
        <v>22.3</v>
      </c>
      <c r="O30" s="144">
        <f>IF(AND(ISNUMBER(K30),ISNUMBER(N30)),N30/(K30/60),"")</f>
        <v>37.166666666666714</v>
      </c>
      <c r="P30" s="142">
        <f ca="1" t="shared" si="25"/>
        <v>270</v>
      </c>
      <c r="Q30" s="143">
        <f ca="1" t="shared" si="26"/>
        <v>200</v>
      </c>
      <c r="R30" s="143">
        <f>IF(AND(ISNUMBER(P30),ISNUMBER(Q30)),P30-Q30,"")</f>
        <v>70</v>
      </c>
      <c r="S30" s="163">
        <f t="shared" si="28"/>
        <v>5.6000000000000005</v>
      </c>
      <c r="T30" s="115">
        <f>IF(AND(ISNUMBER(N30),ISNUMBER(S30)),N30/S30,"")</f>
        <v>3.9821428571428568</v>
      </c>
      <c r="U30" s="30">
        <f>IF(AND(ISNUMBER(S30),ISNUMBER(N30)),S30*1000/N30,"")</f>
        <v>251.12107623318389</v>
      </c>
      <c r="V30" s="157">
        <f>IF(ISNUMBER(R30),R30/281,"")</f>
        <v>0.2491103202846975</v>
      </c>
      <c r="W30" s="149">
        <f>IF(ISNUMBER(R30),R30/20,"")</f>
        <v>3.5</v>
      </c>
      <c r="X30" s="150">
        <f ca="1" t="shared" si="33"/>
        <v>12</v>
      </c>
      <c r="Y30" s="150">
        <f ca="1" t="shared" si="34"/>
        <v>9</v>
      </c>
      <c r="Z30" s="150">
        <f>IF(AND(ISNUMBER(X30),ISNUMBER(Y30)),VLOOKUP(X30,Bars!$A$2:$C$14,2)-VLOOKUP(Y30,Bars!$A$2:$C$14,3),"")</f>
        <v>38</v>
      </c>
      <c r="AA30" s="150">
        <f>IF(AND(ISNUMBER(X30),ISNUMBER(Y30)),VLOOKUP(X30,Bars!$A$2:$C$14,3)-VLOOKUP(Y30,Bars!$A$2:$C$14,2),"")</f>
        <v>79</v>
      </c>
      <c r="AB30" s="151">
        <f t="shared" si="38"/>
        <v>3.04</v>
      </c>
      <c r="AC30" s="159">
        <f t="shared" si="38"/>
        <v>6.32</v>
      </c>
    </row>
    <row r="31" spans="2:29" ht="12.75">
      <c r="B31" s="196" t="s">
        <v>180</v>
      </c>
      <c r="C31">
        <v>19</v>
      </c>
      <c r="D31">
        <v>27</v>
      </c>
      <c r="E31" s="117" t="s">
        <v>156</v>
      </c>
      <c r="F31" s="117" t="s">
        <v>157</v>
      </c>
      <c r="I31" s="138">
        <f ca="1" t="shared" si="18"/>
        <v>0.3625</v>
      </c>
      <c r="J31" s="138">
        <f ca="1" t="shared" si="19"/>
        <v>0.38819444444444445</v>
      </c>
      <c r="K31" s="152">
        <f>IF(AND(ISNUMBER(I31),ISNUMBER(J31)),(J31-I31)*24*60,"")</f>
        <v>37.00000000000003</v>
      </c>
      <c r="L31" s="147">
        <f ca="1" t="shared" si="21"/>
      </c>
      <c r="M31" s="148">
        <f ca="1" t="shared" si="22"/>
      </c>
      <c r="N31" s="148">
        <f>IF(AND(ISNUMBER(L31),ISNUMBER(M31)),M31-L31,"")</f>
      </c>
      <c r="O31" s="144">
        <f>IF(AND(ISNUMBER(K31),ISNUMBER(N31)),N31/(K31/60),"")</f>
      </c>
      <c r="P31" s="142">
        <f ca="1" t="shared" si="25"/>
      </c>
      <c r="Q31" s="143">
        <f ca="1" t="shared" si="26"/>
      </c>
      <c r="R31" s="143">
        <f>IF(AND(ISNUMBER(P31),ISNUMBER(Q31)),P31-Q31,"")</f>
      </c>
      <c r="S31" s="163">
        <f t="shared" si="28"/>
      </c>
      <c r="T31" s="115">
        <f>IF(AND(ISNUMBER(N31),ISNUMBER(S31)),N31/S31,"")</f>
      </c>
      <c r="U31" s="30">
        <f>IF(AND(ISNUMBER(S31),ISNUMBER(N31)),S31*1000/N31,"")</f>
      </c>
      <c r="V31" s="157">
        <f>IF(ISNUMBER(R31),R31/281,"")</f>
      </c>
      <c r="W31" s="149">
        <f>IF(ISNUMBER(R31),R31/20,"")</f>
      </c>
      <c r="X31" s="150">
        <f ca="1" t="shared" si="33"/>
        <v>12</v>
      </c>
      <c r="Y31" s="150">
        <f ca="1" t="shared" si="34"/>
        <v>8</v>
      </c>
      <c r="Z31" s="150">
        <f>IF(AND(ISNUMBER(X31),ISNUMBER(Y31)),VLOOKUP(X31,Bars!$A$2:$C$14,2)-VLOOKUP(Y31,Bars!$A$2:$C$14,3),"")</f>
        <v>59</v>
      </c>
      <c r="AA31" s="150">
        <f>IF(AND(ISNUMBER(X31),ISNUMBER(Y31)),VLOOKUP(X31,Bars!$A$2:$C$14,3)-VLOOKUP(Y31,Bars!$A$2:$C$14,2),"")</f>
        <v>96</v>
      </c>
      <c r="AB31" s="151">
        <f t="shared" si="38"/>
        <v>4.72</v>
      </c>
      <c r="AC31" s="159">
        <f t="shared" si="38"/>
        <v>7.68</v>
      </c>
    </row>
    <row r="32" spans="2:29" ht="12.75">
      <c r="B32" s="196" t="s">
        <v>145</v>
      </c>
      <c r="C32">
        <v>25</v>
      </c>
      <c r="D32">
        <v>26</v>
      </c>
      <c r="E32" s="117" t="s">
        <v>156</v>
      </c>
      <c r="F32" s="117" t="s">
        <v>157</v>
      </c>
      <c r="G32" s="117" t="s">
        <v>154</v>
      </c>
      <c r="H32" s="135" t="s">
        <v>155</v>
      </c>
      <c r="I32" s="138">
        <f ca="1" t="shared" si="18"/>
        <v>0.7131944444444445</v>
      </c>
      <c r="J32" s="138">
        <f ca="1" t="shared" si="19"/>
        <v>0.7388888888888889</v>
      </c>
      <c r="K32" s="152">
        <f>IF(AND(ISNUMBER(I32),ISNUMBER(J32)),(J32-I32)*24*60,"")</f>
        <v>37.00000000000003</v>
      </c>
      <c r="L32" s="147">
        <f ca="1" t="shared" si="21"/>
        <v>0</v>
      </c>
      <c r="M32" s="148">
        <f ca="1" t="shared" si="22"/>
        <v>22.2</v>
      </c>
      <c r="N32" s="148">
        <f>IF(AND(ISNUMBER(L32),ISNUMBER(M32)),M32-L32,"")</f>
        <v>22.2</v>
      </c>
      <c r="O32" s="144">
        <f>IF(AND(ISNUMBER(K32),ISNUMBER(N32)),N32/(K32/60),"")</f>
        <v>35.99999999999997</v>
      </c>
      <c r="P32" s="142">
        <f ca="1" t="shared" si="25"/>
        <v>263</v>
      </c>
      <c r="Q32" s="143">
        <f ca="1" t="shared" si="26"/>
        <v>190</v>
      </c>
      <c r="R32" s="143">
        <f>IF(AND(ISNUMBER(P32),ISNUMBER(Q32)),P32-Q32,"")</f>
        <v>73</v>
      </c>
      <c r="S32" s="163">
        <f t="shared" si="28"/>
        <v>5.84</v>
      </c>
      <c r="T32" s="115">
        <f>IF(AND(ISNUMBER(N32),ISNUMBER(S32)),N32/S32,"")</f>
        <v>3.8013698630136985</v>
      </c>
      <c r="U32" s="30">
        <f>IF(AND(ISNUMBER(S32),ISNUMBER(N32)),S32*1000/N32,"")</f>
        <v>263.06306306306305</v>
      </c>
      <c r="V32" s="157">
        <f>IF(ISNUMBER(R32),R32/281,"")</f>
        <v>0.2597864768683274</v>
      </c>
      <c r="W32" s="149">
        <f>IF(ISNUMBER(R32),R32/20,"")</f>
        <v>3.65</v>
      </c>
      <c r="X32" s="150">
        <f ca="1" t="shared" si="33"/>
        <v>12</v>
      </c>
      <c r="Y32" s="150">
        <f ca="1" t="shared" si="34"/>
        <v>8</v>
      </c>
      <c r="Z32" s="150">
        <f>IF(AND(ISNUMBER(X32),ISNUMBER(Y32)),VLOOKUP(X32,Bars!$A$2:$C$14,2)-VLOOKUP(Y32,Bars!$A$2:$C$14,3),"")</f>
        <v>59</v>
      </c>
      <c r="AA32" s="150">
        <f>IF(AND(ISNUMBER(X32),ISNUMBER(Y32)),VLOOKUP(X32,Bars!$A$2:$C$14,3)-VLOOKUP(Y32,Bars!$A$2:$C$14,2),"")</f>
        <v>96</v>
      </c>
      <c r="AB32" s="151">
        <f t="shared" si="38"/>
        <v>4.72</v>
      </c>
      <c r="AC32" s="159">
        <f t="shared" si="38"/>
        <v>7.68</v>
      </c>
    </row>
    <row r="33" spans="2:29" ht="12.75">
      <c r="B33" s="196" t="s">
        <v>181</v>
      </c>
      <c r="C33">
        <v>25</v>
      </c>
      <c r="D33">
        <v>26</v>
      </c>
      <c r="E33" s="117" t="s">
        <v>156</v>
      </c>
      <c r="F33" s="117" t="s">
        <v>157</v>
      </c>
      <c r="H33" s="135" t="s">
        <v>155</v>
      </c>
      <c r="I33" s="138">
        <f ca="1" t="shared" si="18"/>
        <v>0.2423611111111111</v>
      </c>
      <c r="J33" s="138">
        <f ca="1" t="shared" si="19"/>
        <v>0.2722222222222222</v>
      </c>
      <c r="K33" s="152">
        <f>IF(AND(ISNUMBER(I33),ISNUMBER(J33)),(J33-I33)*24*60,"")</f>
        <v>42.999999999999964</v>
      </c>
      <c r="L33" s="147">
        <f ca="1" t="shared" si="21"/>
        <v>130</v>
      </c>
      <c r="M33" s="148">
        <f ca="1" t="shared" si="22"/>
        <v>154</v>
      </c>
      <c r="N33" s="148">
        <f>IF(AND(ISNUMBER(L33),ISNUMBER(M33)),M33-L33,"")</f>
        <v>24</v>
      </c>
      <c r="O33" s="144">
        <f>IF(AND(ISNUMBER(K33),ISNUMBER(N33)),N33/(K33/60),"")</f>
        <v>33.48837209302328</v>
      </c>
      <c r="P33" s="142">
        <f ca="1" t="shared" si="25"/>
      </c>
      <c r="Q33" s="143">
        <f ca="1" t="shared" si="26"/>
      </c>
      <c r="R33" s="143">
        <f>IF(AND(ISNUMBER(P33),ISNUMBER(Q33)),P33-Q33,"")</f>
      </c>
      <c r="S33" s="163">
        <f t="shared" si="28"/>
      </c>
      <c r="T33" s="115">
        <f>IF(AND(ISNUMBER(N33),ISNUMBER(S33)),N33/S33,"")</f>
      </c>
      <c r="U33" s="30">
        <f>IF(AND(ISNUMBER(S33),ISNUMBER(N33)),S33*1000/N33,"")</f>
      </c>
      <c r="V33" s="157">
        <f>IF(ISNUMBER(R33),R33/281,"")</f>
      </c>
      <c r="W33" s="149">
        <f>IF(ISNUMBER(R33),R33/20,"")</f>
      </c>
      <c r="X33" s="150">
        <f ca="1" t="shared" si="33"/>
        <v>9</v>
      </c>
      <c r="Y33" s="150">
        <f ca="1" t="shared" si="34"/>
        <v>7</v>
      </c>
      <c r="Z33" s="150">
        <f>IF(AND(ISNUMBER(X33),ISNUMBER(Y33)),VLOOKUP(X33,Bars!$A$2:$C$14,2)-VLOOKUP(Y33,Bars!$A$2:$C$14,3),"")</f>
        <v>18</v>
      </c>
      <c r="AA33" s="150">
        <f>IF(AND(ISNUMBER(X33),ISNUMBER(Y33)),VLOOKUP(X33,Bars!$A$2:$C$14,3)-VLOOKUP(Y33,Bars!$A$2:$C$14,2),"")</f>
        <v>56</v>
      </c>
      <c r="AB33" s="151">
        <f t="shared" si="38"/>
        <v>1.44</v>
      </c>
      <c r="AC33" s="159">
        <f t="shared" si="38"/>
        <v>4.48</v>
      </c>
    </row>
    <row r="34" ht="12.75">
      <c r="A34" s="126" t="s">
        <v>187</v>
      </c>
    </row>
    <row r="35" spans="2:29" ht="12.75">
      <c r="B35" s="196" t="s">
        <v>179</v>
      </c>
      <c r="C35">
        <v>29</v>
      </c>
      <c r="D35">
        <v>30</v>
      </c>
      <c r="E35" s="117" t="s">
        <v>156</v>
      </c>
      <c r="F35" s="117" t="s">
        <v>157</v>
      </c>
      <c r="I35" s="138">
        <f ca="1" t="shared" si="18"/>
        <v>0.6979166666666666</v>
      </c>
      <c r="J35" s="138">
        <f ca="1" t="shared" si="19"/>
        <v>0.7430555555555555</v>
      </c>
      <c r="K35" s="152">
        <f>IF(AND(ISNUMBER(I35),ISNUMBER(J35)),(J35-I35)*24*60,"")</f>
        <v>64.99999999999993</v>
      </c>
      <c r="L35" s="147">
        <f ca="1" t="shared" si="21"/>
      </c>
      <c r="M35" s="148">
        <f ca="1" t="shared" si="22"/>
      </c>
      <c r="N35" s="148">
        <f>IF(AND(ISNUMBER(L35),ISNUMBER(M35)),M35-L35,"")</f>
      </c>
      <c r="O35" s="144">
        <f>IF(AND(ISNUMBER(K35),ISNUMBER(N35)),N35/(K35/60),"")</f>
      </c>
      <c r="P35" s="142">
        <f ca="1" t="shared" si="25"/>
      </c>
      <c r="Q35" s="143">
        <f ca="1" t="shared" si="26"/>
      </c>
      <c r="R35" s="143">
        <f>IF(AND(ISNUMBER(P35),ISNUMBER(Q35)),P35-Q35,"")</f>
      </c>
      <c r="S35" s="163">
        <f t="shared" si="28"/>
      </c>
      <c r="T35" s="115">
        <f>IF(AND(ISNUMBER(N35),ISNUMBER(S35)),N35/S35,"")</f>
      </c>
      <c r="U35" s="30">
        <f>IF(AND(ISNUMBER(S35),ISNUMBER(N35)),S35*1000/N35,"")</f>
      </c>
      <c r="V35" s="157">
        <f>IF(ISNUMBER(R35),R35/281,"")</f>
      </c>
      <c r="W35" s="149">
        <f>IF(ISNUMBER(R35),R35/20,"")</f>
      </c>
      <c r="X35" s="150">
        <f ca="1" t="shared" si="33"/>
        <v>23</v>
      </c>
      <c r="Y35" s="150">
        <f ca="1" t="shared" si="34"/>
        <v>4</v>
      </c>
      <c r="Z35" s="150">
        <f>IF(AND(ISNUMBER(X35),ISNUMBER(Y35)),VLOOKUP(X35,Bars!$A$2:$C$14,2)-VLOOKUP(Y35,Bars!$A$2:$C$14,3),"")</f>
        <v>136</v>
      </c>
      <c r="AA35" s="150">
        <f>IF(AND(ISNUMBER(X35),ISNUMBER(Y35)),VLOOKUP(X35,Bars!$A$2:$C$14,3)-VLOOKUP(Y35,Bars!$A$2:$C$14,2),"")</f>
        <v>175</v>
      </c>
      <c r="AB35" s="151">
        <f aca="true" t="shared" si="39" ref="AB35:AC38">IF(ISNUMBER(Z35),Z35*0.08,"")</f>
        <v>10.88</v>
      </c>
      <c r="AC35" s="159">
        <f t="shared" si="39"/>
        <v>14</v>
      </c>
    </row>
    <row r="36" spans="2:29" ht="12.75">
      <c r="B36" s="196" t="s">
        <v>144</v>
      </c>
      <c r="C36">
        <v>29</v>
      </c>
      <c r="D36">
        <v>30</v>
      </c>
      <c r="E36" s="117" t="s">
        <v>156</v>
      </c>
      <c r="F36" s="117" t="s">
        <v>157</v>
      </c>
      <c r="G36" s="117" t="s">
        <v>154</v>
      </c>
      <c r="H36" s="135" t="s">
        <v>155</v>
      </c>
      <c r="I36" s="138">
        <f ca="1" t="shared" si="18"/>
        <v>0.38819444444444445</v>
      </c>
      <c r="J36" s="138">
        <f ca="1" t="shared" si="19"/>
        <v>0.4368055555555555</v>
      </c>
      <c r="K36" s="152">
        <f>IF(AND(ISNUMBER(I36),ISNUMBER(J36)),(J36-I36)*24*60,"")</f>
        <v>69.99999999999991</v>
      </c>
      <c r="L36" s="147">
        <f ca="1" t="shared" si="21"/>
        <v>22.3</v>
      </c>
      <c r="M36" s="148">
        <f ca="1" t="shared" si="22"/>
        <v>73.4</v>
      </c>
      <c r="N36" s="148">
        <f>IF(AND(ISNUMBER(L36),ISNUMBER(M36)),M36-L36,"")</f>
        <v>51.10000000000001</v>
      </c>
      <c r="O36" s="144">
        <f>IF(AND(ISNUMBER(K36),ISNUMBER(N36)),N36/(K36/60),"")</f>
        <v>43.80000000000006</v>
      </c>
      <c r="P36" s="142">
        <f ca="1" t="shared" si="25"/>
        <v>262</v>
      </c>
      <c r="Q36" s="143">
        <f ca="1" t="shared" si="26"/>
        <v>106</v>
      </c>
      <c r="R36" s="143">
        <f>IF(AND(ISNUMBER(P36),ISNUMBER(Q36)),P36-Q36,"")</f>
        <v>156</v>
      </c>
      <c r="S36" s="163">
        <f t="shared" si="28"/>
        <v>12.48</v>
      </c>
      <c r="T36" s="115">
        <f>IF(AND(ISNUMBER(N36),ISNUMBER(S36)),N36/S36,"")</f>
        <v>4.094551282051283</v>
      </c>
      <c r="U36" s="30">
        <f>IF(AND(ISNUMBER(S36),ISNUMBER(N36)),S36*1000/N36,"")</f>
        <v>244.22700587084145</v>
      </c>
      <c r="V36" s="157">
        <f>IF(ISNUMBER(R36),R36/281,"")</f>
        <v>0.5551601423487544</v>
      </c>
      <c r="W36" s="149">
        <f>IF(ISNUMBER(R36),R36/20,"")</f>
        <v>7.8</v>
      </c>
      <c r="X36" s="150">
        <f ca="1" t="shared" si="33"/>
        <v>12</v>
      </c>
      <c r="Y36" s="150">
        <f ca="1" t="shared" si="34"/>
        <v>3</v>
      </c>
      <c r="Z36" s="150">
        <f>IF(AND(ISNUMBER(X36),ISNUMBER(Y36)),VLOOKUP(X36,Bars!$A$2:$C$14,2)-VLOOKUP(Y36,Bars!$A$2:$C$14,3),"")</f>
        <v>155</v>
      </c>
      <c r="AA36" s="150">
        <f>IF(AND(ISNUMBER(X36),ISNUMBER(Y36)),VLOOKUP(X36,Bars!$A$2:$C$14,3)-VLOOKUP(Y36,Bars!$A$2:$C$14,2),"")</f>
        <v>195</v>
      </c>
      <c r="AB36" s="151">
        <f t="shared" si="39"/>
        <v>12.4</v>
      </c>
      <c r="AC36" s="159">
        <f t="shared" si="39"/>
        <v>15.6</v>
      </c>
    </row>
    <row r="37" spans="2:29" ht="12.75">
      <c r="B37" s="196" t="s">
        <v>145</v>
      </c>
      <c r="C37">
        <v>29</v>
      </c>
      <c r="D37">
        <v>30</v>
      </c>
      <c r="E37" s="117" t="s">
        <v>156</v>
      </c>
      <c r="F37" s="117" t="s">
        <v>157</v>
      </c>
      <c r="G37" s="117" t="s">
        <v>154</v>
      </c>
      <c r="H37" s="135" t="s">
        <v>155</v>
      </c>
      <c r="I37" s="138">
        <f ca="1" t="shared" si="18"/>
        <v>0.7618055555555556</v>
      </c>
      <c r="J37" s="138">
        <f ca="1" t="shared" si="19"/>
        <v>0.8034722222222223</v>
      </c>
      <c r="K37" s="152">
        <f>IF(AND(ISNUMBER(I37),ISNUMBER(J37)),(J37-I37)*24*60,"")</f>
        <v>59.99999999999994</v>
      </c>
      <c r="L37" s="147">
        <f ca="1" t="shared" si="21"/>
        <v>0</v>
      </c>
      <c r="M37" s="148">
        <f ca="1" t="shared" si="22"/>
        <v>50.9</v>
      </c>
      <c r="N37" s="148">
        <f>IF(AND(ISNUMBER(L37),ISNUMBER(M37)),M37-L37,"")</f>
        <v>50.9</v>
      </c>
      <c r="O37" s="144">
        <f>IF(AND(ISNUMBER(K37),ISNUMBER(N37)),N37/(K37/60),"")</f>
        <v>50.90000000000005</v>
      </c>
      <c r="P37" s="142">
        <f ca="1" t="shared" si="25"/>
        <v>255</v>
      </c>
      <c r="Q37" s="143">
        <f ca="1" t="shared" si="26"/>
        <v>85</v>
      </c>
      <c r="R37" s="143">
        <f>IF(AND(ISNUMBER(P37),ISNUMBER(Q37)),P37-Q37,"")</f>
        <v>170</v>
      </c>
      <c r="S37" s="163">
        <f t="shared" si="28"/>
        <v>13.6</v>
      </c>
      <c r="T37" s="115">
        <f>IF(AND(ISNUMBER(N37),ISNUMBER(S37)),N37/S37,"")</f>
        <v>3.7426470588235294</v>
      </c>
      <c r="U37" s="30">
        <f>IF(AND(ISNUMBER(S37),ISNUMBER(N37)),S37*1000/N37,"")</f>
        <v>267.19056974459727</v>
      </c>
      <c r="V37" s="157">
        <f>IF(ISNUMBER(R37),R37/281,"")</f>
        <v>0.604982206405694</v>
      </c>
      <c r="W37" s="149">
        <f>IF(ISNUMBER(R37),R37/20,"")</f>
        <v>8.5</v>
      </c>
      <c r="X37" s="150">
        <f ca="1" t="shared" si="33"/>
        <v>11</v>
      </c>
      <c r="Y37" s="150">
        <f ca="1" t="shared" si="34"/>
        <v>3</v>
      </c>
      <c r="Z37" s="150">
        <f>IF(AND(ISNUMBER(X37),ISNUMBER(Y37)),VLOOKUP(X37,Bars!$A$2:$C$14,2)-VLOOKUP(Y37,Bars!$A$2:$C$14,3),"")</f>
        <v>134</v>
      </c>
      <c r="AA37" s="150">
        <f>IF(AND(ISNUMBER(X37),ISNUMBER(Y37)),VLOOKUP(X37,Bars!$A$2:$C$14,3)-VLOOKUP(Y37,Bars!$A$2:$C$14,2),"")</f>
        <v>173</v>
      </c>
      <c r="AB37" s="151">
        <f t="shared" si="39"/>
        <v>10.72</v>
      </c>
      <c r="AC37" s="159">
        <f t="shared" si="39"/>
        <v>13.84</v>
      </c>
    </row>
    <row r="38" spans="2:29" ht="12.75">
      <c r="B38" s="196" t="s">
        <v>181</v>
      </c>
      <c r="C38">
        <v>29</v>
      </c>
      <c r="D38">
        <v>30</v>
      </c>
      <c r="E38" s="117" t="s">
        <v>156</v>
      </c>
      <c r="F38" s="117" t="s">
        <v>157</v>
      </c>
      <c r="H38" s="135" t="s">
        <v>155</v>
      </c>
      <c r="I38" s="138">
        <f ca="1" t="shared" si="18"/>
        <v>0.28125</v>
      </c>
      <c r="J38" s="138">
        <f ca="1" t="shared" si="19"/>
        <v>0.3347222222222222</v>
      </c>
      <c r="K38" s="152">
        <f>IF(AND(ISNUMBER(I38),ISNUMBER(J38)),(J38-I38)*24*60,"")</f>
        <v>76.99999999999997</v>
      </c>
      <c r="L38" s="147">
        <f ca="1" t="shared" si="21"/>
        <v>154</v>
      </c>
      <c r="M38" s="148">
        <f ca="1" t="shared" si="22"/>
        <v>205.1</v>
      </c>
      <c r="N38" s="148">
        <f>IF(AND(ISNUMBER(L38),ISNUMBER(M38)),M38-L38,"")</f>
        <v>51.099999999999994</v>
      </c>
      <c r="O38" s="144">
        <f>IF(AND(ISNUMBER(K38),ISNUMBER(N38)),N38/(K38/60),"")</f>
        <v>39.818181818181834</v>
      </c>
      <c r="P38" s="142">
        <f ca="1" t="shared" si="25"/>
      </c>
      <c r="Q38" s="143">
        <f ca="1" t="shared" si="26"/>
      </c>
      <c r="R38" s="143">
        <f>IF(AND(ISNUMBER(P38),ISNUMBER(Q38)),P38-Q38,"")</f>
      </c>
      <c r="S38" s="163">
        <f t="shared" si="28"/>
      </c>
      <c r="T38" s="115">
        <f>IF(AND(ISNUMBER(N38),ISNUMBER(S38)),N38/S38,"")</f>
      </c>
      <c r="U38" s="30">
        <f>IF(AND(ISNUMBER(S38),ISNUMBER(N38)),S38*1000/N38,"")</f>
      </c>
      <c r="V38" s="157">
        <f>IF(ISNUMBER(R38),R38/281,"")</f>
      </c>
      <c r="W38" s="149">
        <f>IF(ISNUMBER(R38),R38/20,"")</f>
      </c>
      <c r="X38" s="150">
        <f ca="1" t="shared" si="33"/>
        <v>10</v>
      </c>
      <c r="Y38" s="150">
        <f ca="1" t="shared" si="34"/>
        <v>3</v>
      </c>
      <c r="Z38" s="150">
        <f>IF(AND(ISNUMBER(X38),ISNUMBER(Y38)),VLOOKUP(X38,Bars!$A$2:$C$14,2)-VLOOKUP(Y38,Bars!$A$2:$C$14,3),"")</f>
        <v>118</v>
      </c>
      <c r="AA38" s="150">
        <f>IF(AND(ISNUMBER(X38),ISNUMBER(Y38)),VLOOKUP(X38,Bars!$A$2:$C$14,3)-VLOOKUP(Y38,Bars!$A$2:$C$14,2),"")</f>
        <v>152</v>
      </c>
      <c r="AB38" s="151">
        <f t="shared" si="39"/>
        <v>9.44</v>
      </c>
      <c r="AC38" s="159">
        <f t="shared" si="39"/>
        <v>12.16</v>
      </c>
    </row>
    <row r="39" ht="12.75">
      <c r="A39" s="126" t="s">
        <v>189</v>
      </c>
    </row>
    <row r="40" spans="2:29" ht="12.75">
      <c r="B40" s="196" t="s">
        <v>144</v>
      </c>
      <c r="C40">
        <v>29</v>
      </c>
      <c r="D40">
        <v>41</v>
      </c>
      <c r="E40" s="117" t="s">
        <v>156</v>
      </c>
      <c r="F40" s="117" t="s">
        <v>157</v>
      </c>
      <c r="G40" s="117" t="s">
        <v>154</v>
      </c>
      <c r="H40" s="135" t="s">
        <v>155</v>
      </c>
      <c r="I40" s="138">
        <f ca="1">IF(ISBLANK($E40),"",INDIRECT($B40&amp;"!"&amp;$E40&amp;$C40))</f>
        <v>0.38819444444444445</v>
      </c>
      <c r="J40" s="138">
        <f ca="1">IF(ISBLANK($E40),"",INDIRECT($B40&amp;"!"&amp;$E40&amp;$D40))</f>
        <v>0.42083333333333334</v>
      </c>
      <c r="K40" s="152">
        <f>IF(AND(ISNUMBER(I40),ISNUMBER(J40)),(J40-I40)*24*60,"")</f>
        <v>46.99999999999999</v>
      </c>
      <c r="L40" s="147">
        <f ca="1">IF(ISBLANK($H40),"",INDIRECT($B40&amp;"!"&amp;$H40&amp;$C40))</f>
        <v>22.3</v>
      </c>
      <c r="M40" s="148">
        <f ca="1">IF(ISBLANK($H40),"",INDIRECT($B40&amp;"!"&amp;$H40&amp;$D40))</f>
        <v>57.5</v>
      </c>
      <c r="N40" s="148">
        <f>IF(AND(ISNUMBER(L40),ISNUMBER(M40)),M40-L40,"")</f>
        <v>35.2</v>
      </c>
      <c r="O40" s="144">
        <f>IF(AND(ISNUMBER(K40),ISNUMBER(N40)),N40/(K40/60),"")</f>
        <v>44.936170212765965</v>
      </c>
      <c r="P40" s="142">
        <f ca="1">IF(ISBLANK($G40),"",INDIRECT($B40&amp;"!"&amp;$G40&amp;$C40))</f>
        <v>262</v>
      </c>
      <c r="Q40" s="143">
        <f ca="1">IF(ISBLANK($G40),"",INDIRECT($B40&amp;"!"&amp;$G40&amp;$D40))</f>
        <v>103</v>
      </c>
      <c r="R40" s="143">
        <f>IF(AND(ISNUMBER(P40),ISNUMBER(Q40)),P40-Q40,"")</f>
        <v>159</v>
      </c>
      <c r="S40" s="163">
        <f>IF(ISNUMBER(R40),R40*0.08,"")</f>
        <v>12.72</v>
      </c>
      <c r="T40" s="115">
        <f>IF(AND(ISNUMBER(N40),ISNUMBER(S40)),N40/S40,"")</f>
        <v>2.767295597484277</v>
      </c>
      <c r="U40" s="30">
        <f>IF(AND(ISNUMBER(S40),ISNUMBER(N40)),S40*1000/N40,"")</f>
        <v>361.3636363636363</v>
      </c>
      <c r="V40" s="157">
        <f>IF(ISNUMBER(R40),R40/281,"")</f>
        <v>0.5658362989323843</v>
      </c>
      <c r="W40" s="149">
        <f>IF(ISNUMBER(R40),R40/20,"")</f>
        <v>7.95</v>
      </c>
      <c r="X40" s="150">
        <f ca="1">IF(ISBLANK($F40),"",INDIRECT($B40&amp;"!"&amp;$F40&amp;$C40))</f>
        <v>12</v>
      </c>
      <c r="Y40" s="150">
        <f ca="1">IF(ISBLANK($F40),"",INDIRECT($B40&amp;"!"&amp;$F40&amp;$D40))</f>
        <v>4</v>
      </c>
      <c r="Z40" s="150">
        <f>IF(AND(ISNUMBER(X40),ISNUMBER(Y40)),VLOOKUP(X40,Bars!$A$2:$C$14,2)-VLOOKUP(Y40,Bars!$A$2:$C$14,3),"")</f>
        <v>136</v>
      </c>
      <c r="AA40" s="150">
        <f>IF(AND(ISNUMBER(X40),ISNUMBER(Y40)),VLOOKUP(X40,Bars!$A$2:$C$14,3)-VLOOKUP(Y40,Bars!$A$2:$C$14,2),"")</f>
        <v>175</v>
      </c>
      <c r="AB40" s="151">
        <f>IF(ISNUMBER(Z40),Z40*0.08,"")</f>
        <v>10.88</v>
      </c>
      <c r="AC40" s="159">
        <f>IF(ISNUMBER(AA40),AA40*0.08,"")</f>
        <v>14</v>
      </c>
    </row>
    <row r="41" spans="2:29" ht="12.75">
      <c r="B41" s="196" t="s">
        <v>145</v>
      </c>
      <c r="C41">
        <v>29</v>
      </c>
      <c r="D41">
        <v>42</v>
      </c>
      <c r="G41" s="117" t="s">
        <v>154</v>
      </c>
      <c r="H41" s="135" t="s">
        <v>155</v>
      </c>
      <c r="I41" s="138">
        <f ca="1">IF(ISBLANK($E41),"",INDIRECT($B41&amp;"!"&amp;$E41&amp;$C41))</f>
      </c>
      <c r="J41" s="138">
        <f ca="1">IF(ISBLANK($E41),"",INDIRECT($B41&amp;"!"&amp;$E41&amp;$D41))</f>
      </c>
      <c r="K41" s="152">
        <f>IF(AND(ISNUMBER(I41),ISNUMBER(J41)),(J41-I41)*24*60,"")</f>
      </c>
      <c r="L41" s="147">
        <f ca="1">IF(ISBLANK($H41),"",INDIRECT($B41&amp;"!"&amp;$H41&amp;$C41))</f>
        <v>0</v>
      </c>
      <c r="M41" s="148">
        <f ca="1">IF(ISBLANK($H41),"",INDIRECT($B41&amp;"!"&amp;$H41&amp;$D41))</f>
        <v>35</v>
      </c>
      <c r="N41" s="148">
        <f>IF(AND(ISNUMBER(L41),ISNUMBER(M41)),M41-L41,"")</f>
        <v>35</v>
      </c>
      <c r="O41" s="144">
        <f>IF(AND(ISNUMBER(K41),ISNUMBER(N41)),N41/(K41/60),"")</f>
      </c>
      <c r="P41" s="142">
        <f ca="1">IF(ISBLANK($G41),"",INDIRECT($B41&amp;"!"&amp;$G41&amp;$C41))</f>
        <v>255</v>
      </c>
      <c r="Q41" s="143">
        <f ca="1">IF(ISBLANK($G41),"",INDIRECT($B41&amp;"!"&amp;$G41&amp;$D41))</f>
        <v>91</v>
      </c>
      <c r="R41" s="143">
        <f>IF(AND(ISNUMBER(P41),ISNUMBER(Q41)),P41-Q41,"")</f>
        <v>164</v>
      </c>
      <c r="S41" s="163">
        <f>IF(ISNUMBER(R41),R41*0.08,"")</f>
        <v>13.120000000000001</v>
      </c>
      <c r="T41" s="115">
        <f>IF(AND(ISNUMBER(N41),ISNUMBER(S41)),N41/S41,"")</f>
        <v>2.667682926829268</v>
      </c>
      <c r="U41" s="30">
        <f>IF(AND(ISNUMBER(S41),ISNUMBER(N41)),S41*1000/N41,"")</f>
        <v>374.8571428571429</v>
      </c>
      <c r="V41" s="157">
        <f>IF(ISNUMBER(R41),R41/281,"")</f>
        <v>0.5836298932384342</v>
      </c>
      <c r="W41" s="149">
        <f>IF(ISNUMBER(R41),R41/20,"")</f>
        <v>8.2</v>
      </c>
      <c r="X41" s="150">
        <f ca="1">IF(ISBLANK($F41),"",INDIRECT($B41&amp;"!"&amp;$F41&amp;$C41))</f>
      </c>
      <c r="Y41" s="150">
        <f ca="1">IF(ISBLANK($F41),"",INDIRECT($B41&amp;"!"&amp;$F41&amp;$D41))</f>
      </c>
      <c r="Z41" s="150">
        <f>IF(AND(ISNUMBER(X41),ISNUMBER(Y41)),VLOOKUP(X41,Bars!$A$2:$C$14,2)-VLOOKUP(Y41,Bars!$A$2:$C$14,3),"")</f>
      </c>
      <c r="AA41" s="150">
        <f>IF(AND(ISNUMBER(X41),ISNUMBER(Y41)),VLOOKUP(X41,Bars!$A$2:$C$14,3)-VLOOKUP(Y41,Bars!$A$2:$C$14,2),"")</f>
      </c>
      <c r="AB41" s="151">
        <f>IF(ISNUMBER(Z41),Z41*0.08,"")</f>
      </c>
      <c r="AC41" s="159">
        <f>IF(ISNUMBER(AA41),AA41*0.08,"")</f>
      </c>
    </row>
    <row r="42" ht="12.75">
      <c r="A42" s="126" t="s">
        <v>188</v>
      </c>
    </row>
    <row r="43" spans="2:29" ht="12.75">
      <c r="B43" s="196" t="s">
        <v>144</v>
      </c>
      <c r="C43">
        <v>33</v>
      </c>
      <c r="D43">
        <v>34</v>
      </c>
      <c r="E43" s="117" t="s">
        <v>156</v>
      </c>
      <c r="F43" s="117" t="s">
        <v>157</v>
      </c>
      <c r="G43" s="117" t="s">
        <v>154</v>
      </c>
      <c r="H43" s="135" t="s">
        <v>155</v>
      </c>
      <c r="I43" s="138">
        <f ca="1" t="shared" si="18"/>
        <v>0.47222222222222227</v>
      </c>
      <c r="J43" s="138">
        <f ca="1" t="shared" si="19"/>
        <v>0.4979166666666666</v>
      </c>
      <c r="K43" s="152">
        <f>IF(AND(ISNUMBER(I43),ISNUMBER(J43)),(J43-I43)*24*60,"")</f>
        <v>36.99999999999987</v>
      </c>
      <c r="L43" s="147">
        <f ca="1" t="shared" si="21"/>
        <v>73.4</v>
      </c>
      <c r="M43" s="148">
        <f ca="1" t="shared" si="22"/>
        <v>99.8</v>
      </c>
      <c r="N43" s="148">
        <f>IF(AND(ISNUMBER(L43),ISNUMBER(M43)),M43-L43,"")</f>
        <v>26.39999999999999</v>
      </c>
      <c r="O43" s="144">
        <f>IF(AND(ISNUMBER(K43),ISNUMBER(N43)),N43/(K43/60),"")</f>
        <v>42.81081081081094</v>
      </c>
      <c r="P43" s="142">
        <f ca="1" t="shared" si="25"/>
        <v>224</v>
      </c>
      <c r="Q43" s="143">
        <f ca="1" t="shared" si="26"/>
        <v>164</v>
      </c>
      <c r="R43" s="143">
        <f>IF(AND(ISNUMBER(P43),ISNUMBER(Q43)),P43-Q43,"")</f>
        <v>60</v>
      </c>
      <c r="S43" s="163">
        <f t="shared" si="28"/>
        <v>4.8</v>
      </c>
      <c r="T43" s="115">
        <f>IF(AND(ISNUMBER(N43),ISNUMBER(S43)),N43/S43,"")</f>
        <v>5.499999999999998</v>
      </c>
      <c r="U43" s="30">
        <f>IF(AND(ISNUMBER(S43),ISNUMBER(N43)),S43*1000/N43,"")</f>
        <v>181.81818181818187</v>
      </c>
      <c r="V43" s="157">
        <f>IF(ISNUMBER(R43),R43/281,"")</f>
        <v>0.21352313167259787</v>
      </c>
      <c r="W43" s="149">
        <f>IF(ISNUMBER(R43),R43/20,"")</f>
        <v>3</v>
      </c>
      <c r="X43" s="150">
        <f ca="1" t="shared" si="33"/>
        <v>9</v>
      </c>
      <c r="Y43" s="150">
        <f ca="1" t="shared" si="34"/>
        <v>7</v>
      </c>
      <c r="Z43" s="150">
        <f>IF(AND(ISNUMBER(X43),ISNUMBER(Y43)),VLOOKUP(X43,Bars!$A$2:$C$14,2)-VLOOKUP(Y43,Bars!$A$2:$C$14,3),"")</f>
        <v>18</v>
      </c>
      <c r="AA43" s="150">
        <f>IF(AND(ISNUMBER(X43),ISNUMBER(Y43)),VLOOKUP(X43,Bars!$A$2:$C$14,3)-VLOOKUP(Y43,Bars!$A$2:$C$14,2),"")</f>
        <v>56</v>
      </c>
      <c r="AB43" s="151">
        <f aca="true" t="shared" si="40" ref="AB43:AC46">IF(ISNUMBER(Z43),Z43*0.08,"")</f>
        <v>1.44</v>
      </c>
      <c r="AC43" s="159">
        <f t="shared" si="40"/>
        <v>4.48</v>
      </c>
    </row>
    <row r="44" spans="2:29" ht="12.75">
      <c r="B44" s="196" t="s">
        <v>145</v>
      </c>
      <c r="C44">
        <v>33</v>
      </c>
      <c r="D44">
        <v>34</v>
      </c>
      <c r="G44" s="117" t="s">
        <v>154</v>
      </c>
      <c r="H44" s="135" t="s">
        <v>155</v>
      </c>
      <c r="I44" s="138">
        <f ca="1" t="shared" si="18"/>
      </c>
      <c r="J44" s="138">
        <f ca="1" t="shared" si="19"/>
      </c>
      <c r="K44" s="152">
        <f>IF(AND(ISNUMBER(I44),ISNUMBER(J44)),(J44-I44)*24*60,"")</f>
      </c>
      <c r="L44" s="147">
        <f ca="1" t="shared" si="21"/>
        <v>0</v>
      </c>
      <c r="M44" s="148">
        <f ca="1" t="shared" si="22"/>
        <v>26.2</v>
      </c>
      <c r="N44" s="148">
        <f>IF(AND(ISNUMBER(L44),ISNUMBER(M44)),M44-L44,"")</f>
        <v>26.2</v>
      </c>
      <c r="O44" s="144">
        <f>IF(AND(ISNUMBER(K44),ISNUMBER(N44)),N44/(K44/60),"")</f>
      </c>
      <c r="P44" s="142">
        <f ca="1" t="shared" si="25"/>
        <v>232</v>
      </c>
      <c r="Q44" s="143">
        <f ca="1" t="shared" si="26"/>
        <v>165</v>
      </c>
      <c r="R44" s="143">
        <f>IF(AND(ISNUMBER(P44),ISNUMBER(Q44)),P44-Q44,"")</f>
        <v>67</v>
      </c>
      <c r="S44" s="163">
        <f t="shared" si="28"/>
        <v>5.36</v>
      </c>
      <c r="T44" s="115">
        <f>IF(AND(ISNUMBER(N44),ISNUMBER(S44)),N44/S44,"")</f>
        <v>4.888059701492537</v>
      </c>
      <c r="U44" s="30">
        <f>IF(AND(ISNUMBER(S44),ISNUMBER(N44)),S44*1000/N44,"")</f>
        <v>204.58015267175574</v>
      </c>
      <c r="V44" s="157">
        <f>IF(ISNUMBER(R44),R44/281,"")</f>
        <v>0.23843416370106763</v>
      </c>
      <c r="W44" s="149">
        <f>IF(ISNUMBER(R44),R44/20,"")</f>
        <v>3.35</v>
      </c>
      <c r="X44" s="150">
        <f ca="1" t="shared" si="33"/>
      </c>
      <c r="Y44" s="150">
        <f ca="1" t="shared" si="34"/>
      </c>
      <c r="Z44" s="150">
        <f>IF(AND(ISNUMBER(X44),ISNUMBER(Y44)),VLOOKUP(X44,Bars!$A$2:$C$14,2)-VLOOKUP(Y44,Bars!$A$2:$C$14,3),"")</f>
      </c>
      <c r="AA44" s="150">
        <f>IF(AND(ISNUMBER(X44),ISNUMBER(Y44)),VLOOKUP(X44,Bars!$A$2:$C$14,3)-VLOOKUP(Y44,Bars!$A$2:$C$14,2),"")</f>
      </c>
      <c r="AB44" s="151">
        <f t="shared" si="40"/>
      </c>
      <c r="AC44" s="159">
        <f t="shared" si="40"/>
      </c>
    </row>
    <row r="45" spans="2:29" ht="12.75">
      <c r="B45" s="196" t="s">
        <v>146</v>
      </c>
      <c r="C45">
        <v>29</v>
      </c>
      <c r="D45">
        <v>30</v>
      </c>
      <c r="E45" s="117" t="s">
        <v>156</v>
      </c>
      <c r="F45" s="117" t="s">
        <v>157</v>
      </c>
      <c r="G45" s="117" t="s">
        <v>154</v>
      </c>
      <c r="H45" s="135" t="s">
        <v>155</v>
      </c>
      <c r="I45" s="138">
        <f ca="1" t="shared" si="18"/>
        <v>0.2034722222222222</v>
      </c>
      <c r="J45" s="138">
        <f ca="1" t="shared" si="19"/>
        <v>0.22777777777777777</v>
      </c>
      <c r="K45" s="152">
        <f>IF(AND(ISNUMBER(I45),ISNUMBER(J45)),(J45-I45)*24*60,"")</f>
        <v>35.000000000000036</v>
      </c>
      <c r="L45" s="147">
        <f ca="1" t="shared" si="21"/>
        <v>171.3</v>
      </c>
      <c r="M45" s="148">
        <f ca="1" t="shared" si="22"/>
        <v>197.8</v>
      </c>
      <c r="N45" s="148">
        <f>IF(AND(ISNUMBER(L45),ISNUMBER(M45)),M45-L45,"")</f>
        <v>26.5</v>
      </c>
      <c r="O45" s="144">
        <f>IF(AND(ISNUMBER(K45),ISNUMBER(N45)),N45/(K45/60),"")</f>
        <v>45.42857142857138</v>
      </c>
      <c r="P45" s="142">
        <f ca="1" t="shared" si="25"/>
        <v>237</v>
      </c>
      <c r="Q45" s="143">
        <f ca="1" t="shared" si="26"/>
        <v>149</v>
      </c>
      <c r="R45" s="143">
        <f>IF(AND(ISNUMBER(P45),ISNUMBER(Q45)),P45-Q45,"")</f>
        <v>88</v>
      </c>
      <c r="S45" s="163">
        <f t="shared" si="28"/>
        <v>7.04</v>
      </c>
      <c r="T45" s="115">
        <f>IF(AND(ISNUMBER(N45),ISNUMBER(S45)),N45/S45,"")</f>
        <v>3.7642045454545454</v>
      </c>
      <c r="U45" s="30">
        <f>IF(AND(ISNUMBER(S45),ISNUMBER(N45)),S45*1000/N45,"")</f>
        <v>265.66037735849056</v>
      </c>
      <c r="V45" s="157">
        <f>IF(ISNUMBER(R45),R45/281,"")</f>
        <v>0.31316725978647686</v>
      </c>
      <c r="W45" s="149">
        <f>IF(ISNUMBER(R45),R45/20,"")</f>
        <v>4.4</v>
      </c>
      <c r="X45" s="150">
        <f ca="1" t="shared" si="33"/>
        <v>10</v>
      </c>
      <c r="Y45" s="150">
        <f ca="1" t="shared" si="34"/>
        <v>6</v>
      </c>
      <c r="Z45" s="150">
        <f>IF(AND(ISNUMBER(X45),ISNUMBER(Y45)),VLOOKUP(X45,Bars!$A$2:$C$14,2)-VLOOKUP(Y45,Bars!$A$2:$C$14,3),"")</f>
        <v>58</v>
      </c>
      <c r="AA45" s="150">
        <f>IF(AND(ISNUMBER(X45),ISNUMBER(Y45)),VLOOKUP(X45,Bars!$A$2:$C$14,3)-VLOOKUP(Y45,Bars!$A$2:$C$14,2),"")</f>
        <v>93</v>
      </c>
      <c r="AB45" s="151">
        <f t="shared" si="40"/>
        <v>4.64</v>
      </c>
      <c r="AC45" s="159">
        <f t="shared" si="40"/>
        <v>7.44</v>
      </c>
    </row>
    <row r="46" spans="2:29" ht="12.75">
      <c r="B46" s="196" t="s">
        <v>181</v>
      </c>
      <c r="C46">
        <v>33</v>
      </c>
      <c r="D46">
        <v>34</v>
      </c>
      <c r="E46" s="117" t="s">
        <v>156</v>
      </c>
      <c r="F46" s="117" t="s">
        <v>157</v>
      </c>
      <c r="H46" s="135" t="s">
        <v>155</v>
      </c>
      <c r="I46" s="138">
        <f ca="1" t="shared" si="18"/>
        <v>0.34791666666666665</v>
      </c>
      <c r="J46" s="138">
        <f ca="1" t="shared" si="19"/>
        <v>0.37152777777777773</v>
      </c>
      <c r="K46" s="152">
        <f>IF(AND(ISNUMBER(I46),ISNUMBER(J46)),(J46-I46)*24*60,"")</f>
        <v>33.99999999999996</v>
      </c>
      <c r="L46" s="147">
        <f ca="1" t="shared" si="21"/>
        <v>205.1</v>
      </c>
      <c r="M46" s="148">
        <f ca="1" t="shared" si="22"/>
        <v>231</v>
      </c>
      <c r="N46" s="148">
        <f>IF(AND(ISNUMBER(L46),ISNUMBER(M46)),M46-L46,"")</f>
        <v>25.900000000000006</v>
      </c>
      <c r="O46" s="144">
        <f>IF(AND(ISNUMBER(K46),ISNUMBER(N46)),N46/(K46/60),"")</f>
        <v>45.70588235294124</v>
      </c>
      <c r="P46" s="142">
        <f ca="1" t="shared" si="25"/>
      </c>
      <c r="Q46" s="143">
        <f ca="1" t="shared" si="26"/>
      </c>
      <c r="R46" s="143">
        <f>IF(AND(ISNUMBER(P46),ISNUMBER(Q46)),P46-Q46,"")</f>
      </c>
      <c r="S46" s="163">
        <f t="shared" si="28"/>
      </c>
      <c r="T46" s="115">
        <f>IF(AND(ISNUMBER(N46),ISNUMBER(S46)),N46/S46,"")</f>
      </c>
      <c r="U46" s="30">
        <f>IF(AND(ISNUMBER(S46),ISNUMBER(N46)),S46*1000/N46,"")</f>
      </c>
      <c r="V46" s="157">
        <f>IF(ISNUMBER(R46),R46/281,"")</f>
      </c>
      <c r="W46" s="149">
        <f>IF(ISNUMBER(R46),R46/20,"")</f>
      </c>
      <c r="X46" s="150">
        <f ca="1" t="shared" si="33"/>
        <v>8</v>
      </c>
      <c r="Y46" s="150">
        <f ca="1" t="shared" si="34"/>
        <v>6</v>
      </c>
      <c r="Z46" s="150">
        <f>IF(AND(ISNUMBER(X46),ISNUMBER(Y46)),VLOOKUP(X46,Bars!$A$2:$C$14,2)-VLOOKUP(Y46,Bars!$A$2:$C$14,3),"")</f>
        <v>20</v>
      </c>
      <c r="AA46" s="150">
        <f>IF(AND(ISNUMBER(X46),ISNUMBER(Y46)),VLOOKUP(X46,Bars!$A$2:$C$14,3)-VLOOKUP(Y46,Bars!$A$2:$C$14,2),"")</f>
        <v>56</v>
      </c>
      <c r="AB46" s="151">
        <f t="shared" si="40"/>
        <v>1.6</v>
      </c>
      <c r="AC46" s="159">
        <f t="shared" si="40"/>
        <v>4.48</v>
      </c>
    </row>
    <row r="47" spans="9:23" ht="12.75">
      <c r="I47" s="138"/>
      <c r="J47" s="138"/>
      <c r="S47" s="163"/>
      <c r="V47" s="157"/>
      <c r="W47" s="149"/>
    </row>
  </sheetData>
  <mergeCells count="6">
    <mergeCell ref="E1:H1"/>
    <mergeCell ref="C1:D1"/>
    <mergeCell ref="I1:K1"/>
    <mergeCell ref="X1:AC1"/>
    <mergeCell ref="L1:O1"/>
    <mergeCell ref="P1:W1"/>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F46"/>
  <sheetViews>
    <sheetView workbookViewId="0" topLeftCell="A1">
      <pane ySplit="2" topLeftCell="BM3" activePane="bottomLeft" state="frozen"/>
      <selection pane="topLeft" activeCell="A1" sqref="A1"/>
      <selection pane="bottomLeft" activeCell="A4" sqref="A4"/>
    </sheetView>
  </sheetViews>
  <sheetFormatPr defaultColWidth="9.140625" defaultRowHeight="12.75"/>
  <cols>
    <col min="1" max="1" width="3.7109375" style="0" customWidth="1"/>
    <col min="2" max="2" width="5.7109375" style="196" customWidth="1"/>
    <col min="3" max="4" width="3.7109375" style="0" hidden="1" customWidth="1"/>
    <col min="5" max="8" width="3.7109375" style="117" hidden="1" customWidth="1"/>
    <col min="9" max="9" width="3.7109375" style="135" hidden="1" customWidth="1"/>
    <col min="10" max="11" width="5.7109375" style="134" customWidth="1"/>
    <col min="12" max="12" width="4.7109375" style="152" customWidth="1"/>
    <col min="13" max="14" width="4.7109375" style="148" customWidth="1"/>
    <col min="15" max="15" width="5.7109375" style="143" customWidth="1"/>
    <col min="16" max="16" width="4.7109375" style="143" customWidth="1"/>
    <col min="17" max="17" width="4.7109375" style="142" customWidth="1"/>
    <col min="18" max="18" width="4.7109375" style="143" customWidth="1"/>
    <col min="19" max="19" width="4.7109375" style="30" customWidth="1"/>
    <col min="20" max="20" width="4.7109375" style="144" customWidth="1"/>
    <col min="21" max="21" width="4.7109375" style="143" customWidth="1"/>
    <col min="22" max="22" width="4.7109375" style="30" customWidth="1"/>
    <col min="23" max="23" width="4.7109375" style="143" customWidth="1"/>
    <col min="24" max="24" width="5.7109375" style="180" customWidth="1"/>
    <col min="25" max="25" width="4.7109375" style="144" customWidth="1"/>
    <col min="26" max="26" width="4.7109375" style="177" customWidth="1"/>
    <col min="27" max="30" width="4.7109375" style="150" customWidth="1"/>
    <col min="31" max="31" width="5.7109375" style="151" customWidth="1"/>
    <col min="32" max="32" width="5.7109375" style="159" customWidth="1"/>
  </cols>
  <sheetData>
    <row r="1" spans="3:32" ht="12.75">
      <c r="C1" s="243" t="s">
        <v>160</v>
      </c>
      <c r="D1" s="243"/>
      <c r="E1" s="241" t="s">
        <v>159</v>
      </c>
      <c r="F1" s="241"/>
      <c r="G1" s="241"/>
      <c r="H1" s="241"/>
      <c r="I1" s="242"/>
      <c r="J1" s="241" t="s">
        <v>8</v>
      </c>
      <c r="K1" s="241"/>
      <c r="L1" s="241"/>
      <c r="M1" s="245" t="s">
        <v>217</v>
      </c>
      <c r="N1" s="246"/>
      <c r="O1" s="246"/>
      <c r="P1" s="247"/>
      <c r="Q1" s="244" t="s">
        <v>12</v>
      </c>
      <c r="R1" s="241"/>
      <c r="S1" s="241"/>
      <c r="T1" s="242"/>
      <c r="U1" s="244" t="s">
        <v>223</v>
      </c>
      <c r="V1" s="241"/>
      <c r="W1" s="241"/>
      <c r="X1" s="241"/>
      <c r="Y1" s="242"/>
      <c r="Z1" s="203"/>
      <c r="AA1" s="244" t="s">
        <v>167</v>
      </c>
      <c r="AB1" s="241"/>
      <c r="AC1" s="241"/>
      <c r="AD1" s="241"/>
      <c r="AE1" s="241"/>
      <c r="AF1" s="242"/>
    </row>
    <row r="2" spans="2:32" ht="60.75">
      <c r="B2" s="196" t="s">
        <v>153</v>
      </c>
      <c r="C2" s="131" t="s">
        <v>162</v>
      </c>
      <c r="D2" s="131" t="s">
        <v>163</v>
      </c>
      <c r="E2" s="197" t="s">
        <v>8</v>
      </c>
      <c r="F2" s="197" t="s">
        <v>167</v>
      </c>
      <c r="G2" s="197" t="s">
        <v>12</v>
      </c>
      <c r="H2" s="197" t="s">
        <v>213</v>
      </c>
      <c r="I2" s="199" t="s">
        <v>149</v>
      </c>
      <c r="J2" s="136" t="s">
        <v>162</v>
      </c>
      <c r="K2" s="136" t="s">
        <v>163</v>
      </c>
      <c r="L2" s="198" t="s">
        <v>119</v>
      </c>
      <c r="M2" s="146" t="s">
        <v>218</v>
      </c>
      <c r="N2" s="146" t="s">
        <v>219</v>
      </c>
      <c r="O2" s="201" t="s">
        <v>13</v>
      </c>
      <c r="P2" s="201" t="s">
        <v>216</v>
      </c>
      <c r="Q2" s="139" t="s">
        <v>220</v>
      </c>
      <c r="R2" s="140" t="s">
        <v>221</v>
      </c>
      <c r="S2" s="200" t="s">
        <v>218</v>
      </c>
      <c r="T2" s="153" t="s">
        <v>219</v>
      </c>
      <c r="U2" s="140" t="s">
        <v>12</v>
      </c>
      <c r="V2" s="133" t="s">
        <v>177</v>
      </c>
      <c r="W2" s="201" t="s">
        <v>167</v>
      </c>
      <c r="X2" s="201" t="s">
        <v>13</v>
      </c>
      <c r="Y2" s="153" t="s">
        <v>216</v>
      </c>
      <c r="Z2" s="204" t="s">
        <v>222</v>
      </c>
      <c r="AA2" s="140" t="s">
        <v>162</v>
      </c>
      <c r="AB2" s="140" t="s">
        <v>163</v>
      </c>
      <c r="AC2" s="140" t="s">
        <v>173</v>
      </c>
      <c r="AD2" s="140" t="s">
        <v>174</v>
      </c>
      <c r="AE2" s="207" t="s">
        <v>171</v>
      </c>
      <c r="AF2" s="208" t="s">
        <v>172</v>
      </c>
    </row>
    <row r="3" ht="12.75">
      <c r="A3" s="126" t="s">
        <v>224</v>
      </c>
    </row>
    <row r="4" spans="1:32" ht="12.75">
      <c r="A4" s="66"/>
      <c r="B4" s="196" t="s">
        <v>178</v>
      </c>
      <c r="C4">
        <v>5</v>
      </c>
      <c r="D4">
        <v>6</v>
      </c>
      <c r="E4" s="117" t="s">
        <v>156</v>
      </c>
      <c r="F4" s="117" t="s">
        <v>157</v>
      </c>
      <c r="H4" s="117" t="s">
        <v>214</v>
      </c>
      <c r="I4" s="135" t="s">
        <v>215</v>
      </c>
      <c r="J4" s="138">
        <f aca="true" ca="1" t="shared" si="0" ref="J4:J10">IF(ISBLANK($E4),"",INDIRECT($B4&amp;"!"&amp;$E4&amp;$C4))</f>
        <v>0.23680555555555557</v>
      </c>
      <c r="K4" s="138">
        <f aca="true" ca="1" t="shared" si="1" ref="K4:K10">IF(ISBLANK($E4),"",INDIRECT($B4&amp;"!"&amp;$E4&amp;$D4))</f>
        <v>0.2625</v>
      </c>
      <c r="L4" s="152">
        <f aca="true" t="shared" si="2" ref="L4:L10">IF(AND(ISNUMBER(J4),ISNUMBER(K4)),(K4-J4)*24*60,"")</f>
        <v>36.999999999999986</v>
      </c>
      <c r="M4" s="142">
        <f aca="true" ca="1" t="shared" si="3" ref="M4:M10">IF(ISBLANK($H4),"",IF(ISNUMBER(INDIRECT($B4&amp;"!"&amp;$H4&amp;$C4)),INDIRECT($B4&amp;"!"&amp;$H4&amp;$C4),""))</f>
      </c>
      <c r="N4" s="143">
        <f aca="true" ca="1" t="shared" si="4" ref="N4:N10">IF(ISBLANK($H4),"",IF(ISNUMBER(INDIRECT($B4&amp;"!"&amp;$H4&amp;$D4)),INDIRECT($B4&amp;"!"&amp;$H4&amp;$D4),""))</f>
        <v>98</v>
      </c>
      <c r="O4" s="148">
        <f aca="true" ca="1" t="shared" si="5" ref="O4:O10">IF(ISBLANK($I4),"",INDIRECT($B4&amp;"!"&amp;$I4&amp;$D4))</f>
        <v>9.587</v>
      </c>
      <c r="P4" s="143">
        <f aca="true" t="shared" si="6" ref="P4:P10">IF(AND(ISNUMBER(O4),ISNUMBER(L4)),O4*1000/L4,"")</f>
        <v>259.1081081081082</v>
      </c>
      <c r="Q4" s="142">
        <f aca="true" ca="1" t="shared" si="7" ref="Q4:Q10">IF(ISBLANK($G4),"",INDIRECT($B4&amp;"!"&amp;$G4&amp;$C4))</f>
      </c>
      <c r="R4" s="143">
        <f aca="true" ca="1" t="shared" si="8" ref="R4:R10">IF(ISBLANK($G4),"",INDIRECT($B4&amp;"!"&amp;$G4&amp;$D4))</f>
      </c>
      <c r="S4" s="30">
        <f aca="true" t="shared" si="9" ref="S4:T10">IF(ISNUMBER(Q4),Q4/281*100,"")</f>
      </c>
      <c r="T4" s="144">
        <f t="shared" si="9"/>
      </c>
      <c r="U4" s="143">
        <f aca="true" t="shared" si="10" ref="U4:U10">IF(AND(ISNUMBER(Q4),ISNUMBER(R4)),R4-Q4,"")</f>
      </c>
      <c r="V4" s="157">
        <f aca="true" t="shared" si="11" ref="V4:V10">IF(ISNUMBER(U4),U4/281,"")</f>
      </c>
      <c r="W4" s="148">
        <f aca="true" t="shared" si="12" ref="W4:W10">IF(ISNUMBER(U4),U4/20,"")</f>
      </c>
      <c r="X4" s="202">
        <f aca="true" t="shared" si="13" ref="X4:X10">IF(ISNUMBER(U4),U4*0.08,"")</f>
      </c>
      <c r="Y4" s="144">
        <f aca="true" t="shared" si="14" ref="Y4:Y10">IF(AND(ISNUMBER(X4),ISNUMBER(L4)),X4*1000/L4,"")</f>
      </c>
      <c r="Z4" s="205">
        <f aca="true" t="shared" si="15" ref="Z4:Z10">IF(AND(ISNUMBER(O4),ISNUMBER(X4)),O4/X4-1,"")</f>
      </c>
      <c r="AA4" s="150">
        <f aca="true" ca="1" t="shared" si="16" ref="AA4:AA10">IF(ISBLANK($F4),"",INDIRECT($B4&amp;"!"&amp;$F4&amp;$C4))</f>
        <v>6</v>
      </c>
      <c r="AB4" s="150">
        <f aca="true" ca="1" t="shared" si="17" ref="AB4:AB10">IF(ISBLANK($F4),"",INDIRECT($B4&amp;"!"&amp;$F4&amp;$D4))</f>
        <v>11</v>
      </c>
      <c r="AC4" s="150">
        <f>IF(AND(ISNUMBER(AA4),ISNUMBER(AB4)),VLOOKUP(AB4,Bars!$A$2:$C$14,2)-VLOOKUP(AA4,Bars!$A$2:$C$14,3),"")</f>
        <v>74</v>
      </c>
      <c r="AD4" s="150">
        <f>IF(AND(ISNUMBER(AA4),ISNUMBER(AB4)),VLOOKUP(AB4,Bars!$A$2:$C$14,3)-VLOOKUP(AA4,Bars!$A$2:$C$14,2),"")</f>
        <v>114</v>
      </c>
      <c r="AE4" s="151">
        <f aca="true" t="shared" si="18" ref="AE4:AF10">IF(ISNUMBER(AC4),AC4*0.08,"")</f>
        <v>5.92</v>
      </c>
      <c r="AF4" s="159">
        <f t="shared" si="18"/>
        <v>9.120000000000001</v>
      </c>
    </row>
    <row r="5" spans="1:32" ht="12.75">
      <c r="A5" s="66"/>
      <c r="B5" s="196" t="s">
        <v>179</v>
      </c>
      <c r="C5">
        <v>5</v>
      </c>
      <c r="D5">
        <v>6</v>
      </c>
      <c r="E5" s="117" t="s">
        <v>156</v>
      </c>
      <c r="H5" s="117" t="s">
        <v>214</v>
      </c>
      <c r="I5" s="135" t="s">
        <v>215</v>
      </c>
      <c r="J5" s="138">
        <f ca="1" t="shared" si="0"/>
        <v>0.26805555555555555</v>
      </c>
      <c r="K5" s="138">
        <f ca="1" t="shared" si="1"/>
        <v>0.2972222222222222</v>
      </c>
      <c r="L5" s="152">
        <f t="shared" si="2"/>
        <v>42.000000000000014</v>
      </c>
      <c r="M5" s="142">
        <f ca="1" t="shared" si="3"/>
        <v>65</v>
      </c>
      <c r="N5" s="143">
        <f ca="1" t="shared" si="4"/>
        <v>98</v>
      </c>
      <c r="O5" s="148">
        <f ca="1" t="shared" si="5"/>
        <v>7.8</v>
      </c>
      <c r="P5" s="143">
        <f t="shared" si="6"/>
        <v>185.71428571428567</v>
      </c>
      <c r="Q5" s="142">
        <f ca="1" t="shared" si="7"/>
      </c>
      <c r="R5" s="143">
        <f ca="1" t="shared" si="8"/>
      </c>
      <c r="S5" s="30">
        <f t="shared" si="9"/>
      </c>
      <c r="T5" s="144">
        <f t="shared" si="9"/>
      </c>
      <c r="U5" s="143">
        <f t="shared" si="10"/>
      </c>
      <c r="V5" s="157">
        <f t="shared" si="11"/>
      </c>
      <c r="W5" s="148">
        <f t="shared" si="12"/>
      </c>
      <c r="X5" s="202">
        <f t="shared" si="13"/>
      </c>
      <c r="Y5" s="144">
        <f t="shared" si="14"/>
      </c>
      <c r="Z5" s="205">
        <f t="shared" si="15"/>
      </c>
      <c r="AA5" s="150">
        <f ca="1" t="shared" si="16"/>
      </c>
      <c r="AB5" s="150">
        <f ca="1" t="shared" si="17"/>
      </c>
      <c r="AC5" s="150">
        <f>IF(AND(ISNUMBER(AA5),ISNUMBER(AB5)),VLOOKUP(AB5,Bars!$A$2:$C$14,2)-VLOOKUP(AA5,Bars!$A$2:$C$14,3),"")</f>
      </c>
      <c r="AD5" s="150">
        <f>IF(AND(ISNUMBER(AA5),ISNUMBER(AB5)),VLOOKUP(AB5,Bars!$A$2:$C$14,3)-VLOOKUP(AA5,Bars!$A$2:$C$14,2),"")</f>
      </c>
      <c r="AE5" s="151">
        <f t="shared" si="18"/>
      </c>
      <c r="AF5" s="159">
        <f t="shared" si="18"/>
      </c>
    </row>
    <row r="6" spans="2:32" ht="12.75">
      <c r="B6" s="196" t="s">
        <v>144</v>
      </c>
      <c r="C6">
        <v>5</v>
      </c>
      <c r="D6">
        <v>6</v>
      </c>
      <c r="F6" s="117" t="s">
        <v>157</v>
      </c>
      <c r="G6" s="117" t="s">
        <v>154</v>
      </c>
      <c r="H6" s="117" t="s">
        <v>214</v>
      </c>
      <c r="J6" s="138">
        <f ca="1" t="shared" si="0"/>
      </c>
      <c r="K6" s="138">
        <f ca="1" t="shared" si="1"/>
      </c>
      <c r="L6" s="152">
        <f t="shared" si="2"/>
      </c>
      <c r="M6" s="142">
        <f ca="1" t="shared" si="3"/>
        <v>67</v>
      </c>
      <c r="N6" s="143">
        <f ca="1" t="shared" si="4"/>
        <v>98</v>
      </c>
      <c r="O6" s="148">
        <f ca="1" t="shared" si="5"/>
      </c>
      <c r="P6" s="143">
        <f t="shared" si="6"/>
      </c>
      <c r="Q6" s="142">
        <f ca="1" t="shared" si="7"/>
        <v>185</v>
      </c>
      <c r="R6" s="143">
        <f ca="1" t="shared" si="8"/>
        <v>244</v>
      </c>
      <c r="S6" s="30">
        <f t="shared" si="9"/>
        <v>65.83629893238434</v>
      </c>
      <c r="T6" s="144">
        <f t="shared" si="9"/>
        <v>86.83274021352312</v>
      </c>
      <c r="U6" s="143">
        <f t="shared" si="10"/>
        <v>59</v>
      </c>
      <c r="V6" s="157">
        <f t="shared" si="11"/>
        <v>0.2099644128113879</v>
      </c>
      <c r="W6" s="148">
        <f t="shared" si="12"/>
        <v>2.95</v>
      </c>
      <c r="X6" s="202">
        <f t="shared" si="13"/>
        <v>4.72</v>
      </c>
      <c r="Y6" s="144">
        <f t="shared" si="14"/>
      </c>
      <c r="Z6" s="205">
        <f t="shared" si="15"/>
      </c>
      <c r="AA6" s="150">
        <f ca="1" t="shared" si="16"/>
        <v>8</v>
      </c>
      <c r="AB6" s="150">
        <f ca="1" t="shared" si="17"/>
        <v>10</v>
      </c>
      <c r="AC6" s="150">
        <f>IF(AND(ISNUMBER(AA6),ISNUMBER(AB6)),VLOOKUP(AB6,Bars!$A$2:$C$14,2)-VLOOKUP(AA6,Bars!$A$2:$C$14,3),"")</f>
        <v>22</v>
      </c>
      <c r="AD6" s="150">
        <f>IF(AND(ISNUMBER(AA6),ISNUMBER(AB6)),VLOOKUP(AB6,Bars!$A$2:$C$14,3)-VLOOKUP(AA6,Bars!$A$2:$C$14,2),"")</f>
        <v>53</v>
      </c>
      <c r="AE6" s="151">
        <f t="shared" si="18"/>
        <v>1.76</v>
      </c>
      <c r="AF6" s="159">
        <f t="shared" si="18"/>
        <v>4.24</v>
      </c>
    </row>
    <row r="7" spans="2:32" ht="12.75">
      <c r="B7" s="196" t="s">
        <v>180</v>
      </c>
      <c r="C7">
        <v>5</v>
      </c>
      <c r="D7">
        <v>6</v>
      </c>
      <c r="E7" s="117" t="s">
        <v>156</v>
      </c>
      <c r="F7" s="117" t="s">
        <v>157</v>
      </c>
      <c r="H7" s="117" t="s">
        <v>214</v>
      </c>
      <c r="I7" s="135" t="s">
        <v>215</v>
      </c>
      <c r="J7" s="138">
        <f ca="1" t="shared" si="0"/>
        <v>0.3506944444444444</v>
      </c>
      <c r="K7" s="138">
        <f ca="1" t="shared" si="1"/>
        <v>0.37847222222222227</v>
      </c>
      <c r="L7" s="152">
        <f t="shared" si="2"/>
        <v>40.0000000000001</v>
      </c>
      <c r="M7" s="142">
        <f ca="1" t="shared" si="3"/>
        <v>58</v>
      </c>
      <c r="N7" s="143">
        <f ca="1" t="shared" si="4"/>
        <v>98</v>
      </c>
      <c r="O7" s="148">
        <f ca="1" t="shared" si="5"/>
        <v>6.55</v>
      </c>
      <c r="P7" s="143">
        <f t="shared" si="6"/>
        <v>163.7499999999996</v>
      </c>
      <c r="Q7" s="142">
        <f ca="1" t="shared" si="7"/>
      </c>
      <c r="R7" s="143">
        <f ca="1" t="shared" si="8"/>
      </c>
      <c r="S7" s="30">
        <f t="shared" si="9"/>
      </c>
      <c r="T7" s="144">
        <f t="shared" si="9"/>
      </c>
      <c r="U7" s="143">
        <f t="shared" si="10"/>
      </c>
      <c r="V7" s="157">
        <f t="shared" si="11"/>
      </c>
      <c r="W7" s="148">
        <f t="shared" si="12"/>
      </c>
      <c r="X7" s="202">
        <f t="shared" si="13"/>
      </c>
      <c r="Y7" s="144">
        <f t="shared" si="14"/>
      </c>
      <c r="Z7" s="205">
        <f t="shared" si="15"/>
      </c>
      <c r="AA7" s="150">
        <f ca="1" t="shared" si="16"/>
        <v>7</v>
      </c>
      <c r="AB7" s="150">
        <f ca="1" t="shared" si="17"/>
        <v>11</v>
      </c>
      <c r="AC7" s="150">
        <f>IF(AND(ISNUMBER(AA7),ISNUMBER(AB7)),VLOOKUP(AB7,Bars!$A$2:$C$14,2)-VLOOKUP(AA7,Bars!$A$2:$C$14,3),"")</f>
        <v>55</v>
      </c>
      <c r="AD7" s="150">
        <f>IF(AND(ISNUMBER(AA7),ISNUMBER(AB7)),VLOOKUP(AB7,Bars!$A$2:$C$14,3)-VLOOKUP(AA7,Bars!$A$2:$C$14,2),"")</f>
        <v>93</v>
      </c>
      <c r="AE7" s="151">
        <f t="shared" si="18"/>
        <v>4.4</v>
      </c>
      <c r="AF7" s="159">
        <f t="shared" si="18"/>
        <v>7.44</v>
      </c>
    </row>
    <row r="8" spans="2:32" ht="12.75">
      <c r="B8" s="196" t="s">
        <v>145</v>
      </c>
      <c r="C8">
        <v>5</v>
      </c>
      <c r="D8">
        <v>6</v>
      </c>
      <c r="E8" s="117" t="s">
        <v>156</v>
      </c>
      <c r="F8" s="117" t="s">
        <v>157</v>
      </c>
      <c r="G8" s="117" t="s">
        <v>154</v>
      </c>
      <c r="H8" s="117" t="s">
        <v>214</v>
      </c>
      <c r="J8" s="138">
        <f ca="1" t="shared" si="0"/>
        <v>0.3847222222222222</v>
      </c>
      <c r="K8" s="138">
        <f ca="1" t="shared" si="1"/>
        <v>0.4076388888888889</v>
      </c>
      <c r="L8" s="152">
        <f t="shared" si="2"/>
        <v>33.00000000000004</v>
      </c>
      <c r="M8" s="142">
        <f ca="1" t="shared" si="3"/>
        <v>61</v>
      </c>
      <c r="N8" s="143">
        <f ca="1" t="shared" si="4"/>
      </c>
      <c r="O8" s="148">
        <f ca="1" t="shared" si="5"/>
      </c>
      <c r="P8" s="143">
        <f t="shared" si="6"/>
      </c>
      <c r="Q8" s="142">
        <f ca="1" t="shared" si="7"/>
        <v>166</v>
      </c>
      <c r="R8" s="143">
        <f ca="1" t="shared" si="8"/>
        <v>245</v>
      </c>
      <c r="S8" s="30">
        <f t="shared" si="9"/>
        <v>59.07473309608541</v>
      </c>
      <c r="T8" s="144">
        <f t="shared" si="9"/>
        <v>87.18861209964413</v>
      </c>
      <c r="U8" s="143">
        <f t="shared" si="10"/>
        <v>79</v>
      </c>
      <c r="V8" s="157">
        <f t="shared" si="11"/>
        <v>0.28113879003558717</v>
      </c>
      <c r="W8" s="148">
        <f t="shared" si="12"/>
        <v>3.95</v>
      </c>
      <c r="X8" s="202">
        <f t="shared" si="13"/>
        <v>6.32</v>
      </c>
      <c r="Y8" s="144">
        <f t="shared" si="14"/>
        <v>191.51515151515127</v>
      </c>
      <c r="Z8" s="205">
        <f t="shared" si="15"/>
      </c>
      <c r="AA8" s="150">
        <f ca="1" t="shared" si="16"/>
        <v>6</v>
      </c>
      <c r="AB8" s="150">
        <f ca="1" t="shared" si="17"/>
        <v>11</v>
      </c>
      <c r="AC8" s="150">
        <f>IF(AND(ISNUMBER(AA8),ISNUMBER(AB8)),VLOOKUP(AB8,Bars!$A$2:$C$14,2)-VLOOKUP(AA8,Bars!$A$2:$C$14,3),"")</f>
        <v>74</v>
      </c>
      <c r="AD8" s="150">
        <f>IF(AND(ISNUMBER(AA8),ISNUMBER(AB8)),VLOOKUP(AB8,Bars!$A$2:$C$14,3)-VLOOKUP(AA8,Bars!$A$2:$C$14,2),"")</f>
        <v>114</v>
      </c>
      <c r="AE8" s="151">
        <f t="shared" si="18"/>
        <v>5.92</v>
      </c>
      <c r="AF8" s="159">
        <f t="shared" si="18"/>
        <v>9.120000000000001</v>
      </c>
    </row>
    <row r="9" spans="2:32" ht="12.75">
      <c r="B9" s="196" t="s">
        <v>146</v>
      </c>
      <c r="C9">
        <v>10</v>
      </c>
      <c r="D9">
        <v>11</v>
      </c>
      <c r="E9" s="117" t="s">
        <v>156</v>
      </c>
      <c r="F9" s="117" t="s">
        <v>157</v>
      </c>
      <c r="G9" s="117" t="s">
        <v>154</v>
      </c>
      <c r="H9" s="117" t="s">
        <v>214</v>
      </c>
      <c r="I9" s="135" t="s">
        <v>215</v>
      </c>
      <c r="J9" s="138">
        <f ca="1" t="shared" si="0"/>
        <v>0.4166666666666667</v>
      </c>
      <c r="K9" s="138">
        <f ca="1" t="shared" si="1"/>
        <v>0.43402777777777773</v>
      </c>
      <c r="L9" s="152">
        <f t="shared" si="2"/>
        <v>24.99999999999991</v>
      </c>
      <c r="M9" s="142">
        <f ca="1" t="shared" si="3"/>
      </c>
      <c r="N9" s="143">
        <f ca="1" t="shared" si="4"/>
        <v>98</v>
      </c>
      <c r="O9" s="148">
        <f ca="1" t="shared" si="5"/>
        <v>6.3</v>
      </c>
      <c r="P9" s="143">
        <f t="shared" si="6"/>
        <v>252.0000000000009</v>
      </c>
      <c r="Q9" s="142">
        <f ca="1" t="shared" si="7"/>
        <v>171</v>
      </c>
      <c r="R9" s="143">
        <f ca="1" t="shared" si="8"/>
        <v>245</v>
      </c>
      <c r="S9" s="30">
        <f t="shared" si="9"/>
        <v>60.854092526690394</v>
      </c>
      <c r="T9" s="144">
        <f t="shared" si="9"/>
        <v>87.18861209964413</v>
      </c>
      <c r="U9" s="143">
        <f t="shared" si="10"/>
        <v>74</v>
      </c>
      <c r="V9" s="157">
        <f t="shared" si="11"/>
        <v>0.26334519572953735</v>
      </c>
      <c r="W9" s="148">
        <f t="shared" si="12"/>
        <v>3.7</v>
      </c>
      <c r="X9" s="202">
        <f t="shared" si="13"/>
        <v>5.92</v>
      </c>
      <c r="Y9" s="144">
        <f t="shared" si="14"/>
        <v>236.80000000000084</v>
      </c>
      <c r="Z9" s="205">
        <f t="shared" si="15"/>
        <v>0.06418918918918926</v>
      </c>
      <c r="AA9" s="150">
        <f ca="1" t="shared" si="16"/>
        <v>7</v>
      </c>
      <c r="AB9" s="150">
        <f ca="1" t="shared" si="17"/>
        <v>11</v>
      </c>
      <c r="AC9" s="150">
        <f>IF(AND(ISNUMBER(AA9),ISNUMBER(AB9)),VLOOKUP(AB9,Bars!$A$2:$C$14,2)-VLOOKUP(AA9,Bars!$A$2:$C$14,3),"")</f>
        <v>55</v>
      </c>
      <c r="AD9" s="150">
        <f>IF(AND(ISNUMBER(AA9),ISNUMBER(AB9)),VLOOKUP(AB9,Bars!$A$2:$C$14,3)-VLOOKUP(AA9,Bars!$A$2:$C$14,2),"")</f>
        <v>93</v>
      </c>
      <c r="AE9" s="151">
        <f t="shared" si="18"/>
        <v>4.4</v>
      </c>
      <c r="AF9" s="159">
        <f t="shared" si="18"/>
        <v>7.44</v>
      </c>
    </row>
    <row r="10" spans="2:32" ht="12.75">
      <c r="B10" s="196" t="s">
        <v>181</v>
      </c>
      <c r="C10">
        <v>5</v>
      </c>
      <c r="D10">
        <v>6</v>
      </c>
      <c r="E10" s="117" t="s">
        <v>156</v>
      </c>
      <c r="F10" s="117" t="s">
        <v>157</v>
      </c>
      <c r="H10" s="117" t="s">
        <v>214</v>
      </c>
      <c r="I10" s="135" t="s">
        <v>215</v>
      </c>
      <c r="J10" s="138">
        <f ca="1" t="shared" si="0"/>
        <v>0.47222222222222227</v>
      </c>
      <c r="K10" s="138">
        <f ca="1" t="shared" si="1"/>
        <v>0.49513888888888885</v>
      </c>
      <c r="L10" s="152">
        <f t="shared" si="2"/>
        <v>32.999999999999886</v>
      </c>
      <c r="M10" s="142">
        <f ca="1" t="shared" si="3"/>
        <v>57</v>
      </c>
      <c r="N10" s="143">
        <f ca="1" t="shared" si="4"/>
        <v>98</v>
      </c>
      <c r="O10" s="148">
        <f ca="1" t="shared" si="5"/>
        <v>8.45</v>
      </c>
      <c r="P10" s="143">
        <f t="shared" si="6"/>
        <v>256.0606060606069</v>
      </c>
      <c r="Q10" s="142">
        <f ca="1" t="shared" si="7"/>
      </c>
      <c r="R10" s="143">
        <f ca="1" t="shared" si="8"/>
      </c>
      <c r="S10" s="30">
        <f t="shared" si="9"/>
      </c>
      <c r="T10" s="144">
        <f t="shared" si="9"/>
      </c>
      <c r="U10" s="143">
        <f t="shared" si="10"/>
      </c>
      <c r="V10" s="157">
        <f t="shared" si="11"/>
      </c>
      <c r="W10" s="148">
        <f t="shared" si="12"/>
      </c>
      <c r="X10" s="202">
        <f t="shared" si="13"/>
      </c>
      <c r="Y10" s="144">
        <f t="shared" si="14"/>
      </c>
      <c r="Z10" s="205">
        <f t="shared" si="15"/>
      </c>
      <c r="AA10" s="150">
        <f ca="1" t="shared" si="16"/>
        <v>6</v>
      </c>
      <c r="AB10" s="150">
        <f ca="1" t="shared" si="17"/>
        <v>11</v>
      </c>
      <c r="AC10" s="150">
        <f>IF(AND(ISNUMBER(AA10),ISNUMBER(AB10)),VLOOKUP(AB10,Bars!$A$2:$C$14,2)-VLOOKUP(AA10,Bars!$A$2:$C$14,3),"")</f>
        <v>74</v>
      </c>
      <c r="AD10" s="150">
        <f>IF(AND(ISNUMBER(AA10),ISNUMBER(AB10)),VLOOKUP(AB10,Bars!$A$2:$C$14,3)-VLOOKUP(AA10,Bars!$A$2:$C$14,2),"")</f>
        <v>114</v>
      </c>
      <c r="AE10" s="151">
        <f t="shared" si="18"/>
        <v>5.92</v>
      </c>
      <c r="AF10" s="159">
        <f t="shared" si="18"/>
        <v>9.120000000000001</v>
      </c>
    </row>
    <row r="11" ht="12.75">
      <c r="A11" s="126" t="s">
        <v>225</v>
      </c>
    </row>
    <row r="12" spans="2:32" ht="12.75">
      <c r="B12" s="196" t="s">
        <v>179</v>
      </c>
      <c r="C12">
        <v>9</v>
      </c>
      <c r="D12">
        <v>10</v>
      </c>
      <c r="E12" s="117" t="s">
        <v>156</v>
      </c>
      <c r="H12" s="117" t="s">
        <v>214</v>
      </c>
      <c r="I12" s="135" t="s">
        <v>215</v>
      </c>
      <c r="J12" s="138">
        <f aca="true" ca="1" t="shared" si="19" ref="J12:J17">IF(ISBLANK($E12),"",INDIRECT($B12&amp;"!"&amp;$E12&amp;$C12))</f>
        <v>0.325</v>
      </c>
      <c r="K12" s="138">
        <f ca="1">IF(ISBLANK($E12),"",INDIRECT($B12&amp;"!"&amp;$E12&amp;$D12))</f>
        <v>0.35625</v>
      </c>
      <c r="L12" s="152">
        <f aca="true" t="shared" si="20" ref="L12:L17">IF(AND(ISNUMBER(J12),ISNUMBER(K12)),(K12-J12)*24*60,"")</f>
        <v>45</v>
      </c>
      <c r="M12" s="142">
        <f aca="true" ca="1" t="shared" si="21" ref="M12:M17">IF(ISBLANK($H12),"",IF(ISNUMBER(INDIRECT($B12&amp;"!"&amp;$H12&amp;$C12)),INDIRECT($B12&amp;"!"&amp;$H12&amp;$C12),""))</f>
        <v>63</v>
      </c>
      <c r="N12" s="143">
        <f aca="true" ca="1" t="shared" si="22" ref="N12:N17">IF(ISBLANK($H12),"",IF(ISNUMBER(INDIRECT($B12&amp;"!"&amp;$H12&amp;$D12)),INDIRECT($B12&amp;"!"&amp;$H12&amp;$D12),""))</f>
        <v>98</v>
      </c>
      <c r="O12" s="148">
        <f aca="true" ca="1" t="shared" si="23" ref="O12:O17">IF(ISBLANK($I12),"",INDIRECT($B12&amp;"!"&amp;$I12&amp;$D12))</f>
        <v>8.6</v>
      </c>
      <c r="P12" s="143">
        <f aca="true" t="shared" si="24" ref="P12:P17">IF(AND(ISNUMBER(O12),ISNUMBER(L12)),O12*1000/L12,"")</f>
        <v>191.11111111111111</v>
      </c>
      <c r="Q12" s="142">
        <f aca="true" ca="1" t="shared" si="25" ref="Q12:Q17">IF(ISBLANK($G12),"",INDIRECT($B12&amp;"!"&amp;$G12&amp;$C12))</f>
      </c>
      <c r="R12" s="143">
        <f aca="true" ca="1" t="shared" si="26" ref="R12:R17">IF(ISBLANK($G12),"",INDIRECT($B12&amp;"!"&amp;$G12&amp;$D12))</f>
      </c>
      <c r="S12" s="30">
        <f aca="true" t="shared" si="27" ref="S12:T17">IF(ISNUMBER(Q12),Q12/281*100,"")</f>
      </c>
      <c r="T12" s="144">
        <f t="shared" si="27"/>
      </c>
      <c r="U12" s="143">
        <f aca="true" t="shared" si="28" ref="U12:U17">IF(AND(ISNUMBER(Q12),ISNUMBER(R12)),R12-Q12,"")</f>
      </c>
      <c r="V12" s="157">
        <f aca="true" t="shared" si="29" ref="V12:V17">IF(ISNUMBER(U12),U12/281,"")</f>
      </c>
      <c r="W12" s="148">
        <f aca="true" t="shared" si="30" ref="W12:W17">IF(ISNUMBER(U12),U12/20,"")</f>
      </c>
      <c r="X12" s="202">
        <f aca="true" t="shared" si="31" ref="X12:X17">IF(ISNUMBER(U12),U12*0.08,"")</f>
      </c>
      <c r="Y12" s="144">
        <f aca="true" t="shared" si="32" ref="Y12:Y17">IF(AND(ISNUMBER(X12),ISNUMBER(L12)),X12*1000/L12,"")</f>
      </c>
      <c r="Z12" s="205">
        <f aca="true" t="shared" si="33" ref="Z12:Z17">IF(AND(ISNUMBER(O12),ISNUMBER(X12)),O12/X12-1,"")</f>
      </c>
      <c r="AA12" s="150">
        <f aca="true" ca="1" t="shared" si="34" ref="AA12:AA17">IF(ISBLANK($F12),"",INDIRECT($B12&amp;"!"&amp;$F12&amp;$C12))</f>
      </c>
      <c r="AB12" s="150">
        <f aca="true" ca="1" t="shared" si="35" ref="AB12:AB17">IF(ISBLANK($F12),"",INDIRECT($B12&amp;"!"&amp;$F12&amp;$D12))</f>
      </c>
      <c r="AC12" s="150">
        <f>IF(AND(ISNUMBER(AA12),ISNUMBER(AB12)),VLOOKUP(AB12,Bars!$A$2:$C$14,2)-VLOOKUP(AA12,Bars!$A$2:$C$14,3),"")</f>
      </c>
      <c r="AD12" s="150">
        <f>IF(AND(ISNUMBER(AA12),ISNUMBER(AB12)),VLOOKUP(AB12,Bars!$A$2:$C$14,3)-VLOOKUP(AA12,Bars!$A$2:$C$14,2),"")</f>
      </c>
      <c r="AE12" s="151">
        <f aca="true" t="shared" si="36" ref="AE12:AE17">IF(ISNUMBER(AC12),AC12*0.08,"")</f>
      </c>
      <c r="AF12" s="159">
        <f aca="true" t="shared" si="37" ref="AF12:AF17">IF(ISNUMBER(AD12),AD12*0.08,"")</f>
      </c>
    </row>
    <row r="13" spans="2:32" ht="12.75">
      <c r="B13" s="196" t="s">
        <v>144</v>
      </c>
      <c r="C13">
        <v>9</v>
      </c>
      <c r="D13">
        <v>10</v>
      </c>
      <c r="F13" s="117" t="s">
        <v>157</v>
      </c>
      <c r="G13" s="117" t="s">
        <v>154</v>
      </c>
      <c r="H13" s="117" t="s">
        <v>214</v>
      </c>
      <c r="I13" s="135" t="s">
        <v>215</v>
      </c>
      <c r="J13" s="138">
        <f ca="1" t="shared" si="19"/>
      </c>
      <c r="K13" s="138">
        <f ca="1">IF(ISBLANK($E13),"",INDIRECT($B13&amp;"!"&amp;$E13&amp;$D13))</f>
      </c>
      <c r="L13" s="152">
        <f t="shared" si="20"/>
      </c>
      <c r="M13" s="142">
        <f ca="1" t="shared" si="21"/>
        <v>52</v>
      </c>
      <c r="N13" s="143">
        <f ca="1" t="shared" si="22"/>
        <v>98</v>
      </c>
      <c r="O13" s="148">
        <f ca="1" t="shared" si="23"/>
        <v>9.227</v>
      </c>
      <c r="P13" s="143">
        <f t="shared" si="24"/>
      </c>
      <c r="Q13" s="142">
        <f ca="1" t="shared" si="25"/>
        <v>141</v>
      </c>
      <c r="R13" s="143">
        <f ca="1" t="shared" si="26"/>
        <v>245</v>
      </c>
      <c r="S13" s="30">
        <f t="shared" si="27"/>
        <v>50.177935943060504</v>
      </c>
      <c r="T13" s="144">
        <f t="shared" si="27"/>
        <v>87.18861209964413</v>
      </c>
      <c r="U13" s="143">
        <f t="shared" si="28"/>
        <v>104</v>
      </c>
      <c r="V13" s="157">
        <f t="shared" si="29"/>
        <v>0.3701067615658363</v>
      </c>
      <c r="W13" s="148">
        <f t="shared" si="30"/>
        <v>5.2</v>
      </c>
      <c r="X13" s="202">
        <f t="shared" si="31"/>
        <v>8.32</v>
      </c>
      <c r="Y13" s="144">
        <f t="shared" si="32"/>
      </c>
      <c r="Z13" s="205">
        <f t="shared" si="33"/>
        <v>0.109014423076923</v>
      </c>
      <c r="AA13" s="150">
        <f ca="1" t="shared" si="34"/>
        <v>5</v>
      </c>
      <c r="AB13" s="150">
        <f ca="1" t="shared" si="35"/>
        <v>11</v>
      </c>
      <c r="AC13" s="150">
        <f>IF(AND(ISNUMBER(AA13),ISNUMBER(AB13)),VLOOKUP(AB13,Bars!$A$2:$C$14,2)-VLOOKUP(AA13,Bars!$A$2:$C$14,3),"")</f>
        <v>95</v>
      </c>
      <c r="AD13" s="150">
        <f>IF(AND(ISNUMBER(AA13),ISNUMBER(AB13)),VLOOKUP(AB13,Bars!$A$2:$C$14,3)-VLOOKUP(AA13,Bars!$A$2:$C$14,2),"")</f>
        <v>134</v>
      </c>
      <c r="AE13" s="151">
        <f t="shared" si="36"/>
        <v>7.6000000000000005</v>
      </c>
      <c r="AF13" s="159">
        <f t="shared" si="37"/>
        <v>10.72</v>
      </c>
    </row>
    <row r="14" spans="2:32" ht="12.75">
      <c r="B14" s="196" t="s">
        <v>180</v>
      </c>
      <c r="C14">
        <v>9</v>
      </c>
      <c r="D14">
        <v>10</v>
      </c>
      <c r="E14" s="117" t="s">
        <v>156</v>
      </c>
      <c r="F14" s="117" t="s">
        <v>157</v>
      </c>
      <c r="H14" s="117" t="s">
        <v>214</v>
      </c>
      <c r="I14" s="135" t="s">
        <v>215</v>
      </c>
      <c r="J14" s="138">
        <f ca="1" t="shared" si="19"/>
        <v>0.4159722222222222</v>
      </c>
      <c r="K14" s="138">
        <f ca="1">IF(ISBLANK($E14),"",INDIRECT($B14&amp;"!"&amp;$E14&amp;$D14))</f>
        <v>0.4388888888888889</v>
      </c>
      <c r="L14" s="152">
        <f t="shared" si="20"/>
        <v>33.00000000000004</v>
      </c>
      <c r="M14" s="142">
        <f ca="1" t="shared" si="21"/>
        <v>59</v>
      </c>
      <c r="N14" s="143">
        <f ca="1" t="shared" si="22"/>
        <v>98</v>
      </c>
      <c r="O14" s="148">
        <f ca="1" t="shared" si="23"/>
        <v>9.35</v>
      </c>
      <c r="P14" s="143">
        <f t="shared" si="24"/>
        <v>283.333333333333</v>
      </c>
      <c r="Q14" s="142">
        <f ca="1" t="shared" si="25"/>
      </c>
      <c r="R14" s="143">
        <f ca="1" t="shared" si="26"/>
      </c>
      <c r="S14" s="30">
        <f t="shared" si="27"/>
      </c>
      <c r="T14" s="144">
        <f t="shared" si="27"/>
      </c>
      <c r="U14" s="143">
        <f t="shared" si="28"/>
      </c>
      <c r="V14" s="157">
        <f t="shared" si="29"/>
      </c>
      <c r="W14" s="148">
        <f t="shared" si="30"/>
      </c>
      <c r="X14" s="202">
        <f t="shared" si="31"/>
      </c>
      <c r="Y14" s="144">
        <f t="shared" si="32"/>
      </c>
      <c r="Z14" s="205">
        <f t="shared" si="33"/>
      </c>
      <c r="AA14" s="150">
        <f ca="1" t="shared" si="34"/>
        <v>6</v>
      </c>
      <c r="AB14" s="150">
        <f ca="1" t="shared" si="35"/>
        <v>11</v>
      </c>
      <c r="AC14" s="150">
        <f>IF(AND(ISNUMBER(AA14),ISNUMBER(AB14)),VLOOKUP(AB14,Bars!$A$2:$C$14,2)-VLOOKUP(AA14,Bars!$A$2:$C$14,3),"")</f>
        <v>74</v>
      </c>
      <c r="AD14" s="150">
        <f>IF(AND(ISNUMBER(AA14),ISNUMBER(AB14)),VLOOKUP(AB14,Bars!$A$2:$C$14,3)-VLOOKUP(AA14,Bars!$A$2:$C$14,2),"")</f>
        <v>114</v>
      </c>
      <c r="AE14" s="151">
        <f t="shared" si="36"/>
        <v>5.92</v>
      </c>
      <c r="AF14" s="159">
        <f t="shared" si="37"/>
        <v>9.120000000000001</v>
      </c>
    </row>
    <row r="15" spans="2:32" ht="12.75">
      <c r="B15" s="196" t="s">
        <v>145</v>
      </c>
      <c r="C15">
        <v>9</v>
      </c>
      <c r="D15">
        <v>10</v>
      </c>
      <c r="E15" s="117" t="s">
        <v>156</v>
      </c>
      <c r="F15" s="117" t="s">
        <v>157</v>
      </c>
      <c r="G15" s="117" t="s">
        <v>154</v>
      </c>
      <c r="H15" s="117" t="s">
        <v>214</v>
      </c>
      <c r="I15" s="135" t="s">
        <v>215</v>
      </c>
      <c r="J15" s="138">
        <f ca="1" t="shared" si="19"/>
        <v>0.44027777777777777</v>
      </c>
      <c r="K15" s="138">
        <f ca="1">IF(ISBLANK($E15),"",INDIRECT($B15&amp;"!"&amp;$E15&amp;$D15))</f>
        <v>0.4666666666666666</v>
      </c>
      <c r="L15" s="152">
        <f t="shared" si="20"/>
        <v>37.99999999999994</v>
      </c>
      <c r="M15" s="142">
        <f ca="1" t="shared" si="21"/>
        <v>57</v>
      </c>
      <c r="N15" s="143">
        <f ca="1" t="shared" si="22"/>
        <v>98</v>
      </c>
      <c r="O15" s="148">
        <f ca="1" t="shared" si="23"/>
        <v>8.247</v>
      </c>
      <c r="P15" s="143">
        <f t="shared" si="24"/>
        <v>217.026315789474</v>
      </c>
      <c r="Q15" s="142">
        <f ca="1" t="shared" si="25"/>
        <v>159</v>
      </c>
      <c r="R15" s="143">
        <f ca="1" t="shared" si="26"/>
        <v>250</v>
      </c>
      <c r="S15" s="30">
        <f t="shared" si="27"/>
        <v>56.58362989323843</v>
      </c>
      <c r="T15" s="144">
        <f t="shared" si="27"/>
        <v>88.96797153024912</v>
      </c>
      <c r="U15" s="143">
        <f t="shared" si="28"/>
        <v>91</v>
      </c>
      <c r="V15" s="157">
        <f t="shared" si="29"/>
        <v>0.3238434163701068</v>
      </c>
      <c r="W15" s="148">
        <f t="shared" si="30"/>
        <v>4.55</v>
      </c>
      <c r="X15" s="202">
        <f t="shared" si="31"/>
        <v>7.28</v>
      </c>
      <c r="Y15" s="144">
        <f t="shared" si="32"/>
        <v>191.57894736842135</v>
      </c>
      <c r="Z15" s="205">
        <f t="shared" si="33"/>
        <v>0.1328296703296703</v>
      </c>
      <c r="AA15" s="150">
        <f ca="1" t="shared" si="34"/>
        <v>6</v>
      </c>
      <c r="AB15" s="150">
        <f ca="1" t="shared" si="35"/>
        <v>11</v>
      </c>
      <c r="AC15" s="150">
        <f>IF(AND(ISNUMBER(AA15),ISNUMBER(AB15)),VLOOKUP(AB15,Bars!$A$2:$C$14,2)-VLOOKUP(AA15,Bars!$A$2:$C$14,3),"")</f>
        <v>74</v>
      </c>
      <c r="AD15" s="150">
        <f>IF(AND(ISNUMBER(AA15),ISNUMBER(AB15)),VLOOKUP(AB15,Bars!$A$2:$C$14,3)-VLOOKUP(AA15,Bars!$A$2:$C$14,2),"")</f>
        <v>114</v>
      </c>
      <c r="AE15" s="151">
        <f t="shared" si="36"/>
        <v>5.92</v>
      </c>
      <c r="AF15" s="159">
        <f t="shared" si="37"/>
        <v>9.120000000000001</v>
      </c>
    </row>
    <row r="16" spans="2:32" ht="12.75">
      <c r="B16" s="196" t="s">
        <v>146</v>
      </c>
      <c r="C16">
        <v>14</v>
      </c>
      <c r="D16">
        <v>15</v>
      </c>
      <c r="E16" s="117" t="s">
        <v>156</v>
      </c>
      <c r="F16" s="117" t="s">
        <v>157</v>
      </c>
      <c r="G16" s="117" t="s">
        <v>154</v>
      </c>
      <c r="H16" s="117" t="s">
        <v>214</v>
      </c>
      <c r="I16" s="135" t="s">
        <v>215</v>
      </c>
      <c r="J16" s="138">
        <f ca="1" t="shared" si="19"/>
        <v>0.4798611111111111</v>
      </c>
      <c r="K16" s="138">
        <f ca="1">IF(ISBLANK($E16),"",INDIRECT($B16&amp;"!"&amp;$E16&amp;$D16))</f>
        <v>0.5055555555555555</v>
      </c>
      <c r="L16" s="152">
        <f t="shared" si="20"/>
        <v>36.99999999999995</v>
      </c>
      <c r="M16" s="142">
        <f ca="1" t="shared" si="21"/>
        <v>60</v>
      </c>
      <c r="N16" s="143">
        <f ca="1" t="shared" si="22"/>
        <v>98</v>
      </c>
      <c r="O16" s="148">
        <f ca="1" t="shared" si="23"/>
        <v>9.8</v>
      </c>
      <c r="P16" s="143">
        <f t="shared" si="24"/>
        <v>264.86486486486524</v>
      </c>
      <c r="Q16" s="142">
        <f ca="1" t="shared" si="25"/>
        <v>170</v>
      </c>
      <c r="R16" s="143">
        <f ca="1" t="shared" si="26"/>
        <v>268</v>
      </c>
      <c r="S16" s="30">
        <f t="shared" si="27"/>
        <v>60.4982206405694</v>
      </c>
      <c r="T16" s="144">
        <f t="shared" si="27"/>
        <v>95.37366548042705</v>
      </c>
      <c r="U16" s="143">
        <f t="shared" si="28"/>
        <v>98</v>
      </c>
      <c r="V16" s="157">
        <f t="shared" si="29"/>
        <v>0.3487544483985765</v>
      </c>
      <c r="W16" s="148">
        <f t="shared" si="30"/>
        <v>4.9</v>
      </c>
      <c r="X16" s="202">
        <f t="shared" si="31"/>
        <v>7.84</v>
      </c>
      <c r="Y16" s="144">
        <f t="shared" si="32"/>
        <v>211.8918918918922</v>
      </c>
      <c r="Z16" s="205">
        <f t="shared" si="33"/>
        <v>0.2500000000000002</v>
      </c>
      <c r="AA16" s="150">
        <f ca="1" t="shared" si="34"/>
        <v>6</v>
      </c>
      <c r="AB16" s="150">
        <f ca="1" t="shared" si="35"/>
        <v>12</v>
      </c>
      <c r="AC16" s="150">
        <f>IF(AND(ISNUMBER(AA16),ISNUMBER(AB16)),VLOOKUP(AB16,Bars!$A$2:$C$14,2)-VLOOKUP(AA16,Bars!$A$2:$C$14,3),"")</f>
        <v>95</v>
      </c>
      <c r="AD16" s="150">
        <f>IF(AND(ISNUMBER(AA16),ISNUMBER(AB16)),VLOOKUP(AB16,Bars!$A$2:$C$14,3)-VLOOKUP(AA16,Bars!$A$2:$C$14,2),"")</f>
        <v>136</v>
      </c>
      <c r="AE16" s="151">
        <f t="shared" si="36"/>
        <v>7.6000000000000005</v>
      </c>
      <c r="AF16" s="159">
        <f t="shared" si="37"/>
        <v>10.88</v>
      </c>
    </row>
    <row r="17" spans="2:32" ht="12.75">
      <c r="B17" s="196" t="s">
        <v>181</v>
      </c>
      <c r="C17">
        <v>9</v>
      </c>
      <c r="D17">
        <v>10</v>
      </c>
      <c r="E17" s="117" t="s">
        <v>156</v>
      </c>
      <c r="F17" s="117" t="s">
        <v>157</v>
      </c>
      <c r="H17" s="117" t="s">
        <v>214</v>
      </c>
      <c r="I17" s="135" t="s">
        <v>215</v>
      </c>
      <c r="J17" s="138">
        <f ca="1" t="shared" si="19"/>
        <v>0.5243055555555556</v>
      </c>
      <c r="K17" s="138">
        <f ca="1">IF(ISBLANK($E17),"",INDIRECT($B17&amp;"!"&amp;$E17&amp;$D17)+0.5)</f>
        <v>0.5763888888888888</v>
      </c>
      <c r="L17" s="152">
        <f t="shared" si="20"/>
        <v>74.99999999999989</v>
      </c>
      <c r="M17" s="142">
        <f ca="1" t="shared" si="21"/>
      </c>
      <c r="N17" s="143">
        <f ca="1" t="shared" si="22"/>
        <v>98</v>
      </c>
      <c r="O17" s="148">
        <f ca="1" t="shared" si="23"/>
        <v>7.8</v>
      </c>
      <c r="P17" s="143">
        <f t="shared" si="24"/>
        <v>104.00000000000016</v>
      </c>
      <c r="Q17" s="142">
        <f ca="1" t="shared" si="25"/>
      </c>
      <c r="R17" s="143">
        <f ca="1" t="shared" si="26"/>
      </c>
      <c r="S17" s="30">
        <f t="shared" si="27"/>
      </c>
      <c r="T17" s="144">
        <f t="shared" si="27"/>
      </c>
      <c r="U17" s="143">
        <f t="shared" si="28"/>
      </c>
      <c r="V17" s="157">
        <f t="shared" si="29"/>
      </c>
      <c r="W17" s="148">
        <f t="shared" si="30"/>
      </c>
      <c r="X17" s="202">
        <f t="shared" si="31"/>
      </c>
      <c r="Y17" s="144">
        <f t="shared" si="32"/>
      </c>
      <c r="Z17" s="205">
        <f t="shared" si="33"/>
      </c>
      <c r="AA17" s="150">
        <f ca="1" t="shared" si="34"/>
        <v>6</v>
      </c>
      <c r="AB17" s="150">
        <f ca="1" t="shared" si="35"/>
        <v>11</v>
      </c>
      <c r="AC17" s="150">
        <f>IF(AND(ISNUMBER(AA17),ISNUMBER(AB17)),VLOOKUP(AB17,Bars!$A$2:$C$14,2)-VLOOKUP(AA17,Bars!$A$2:$C$14,3),"")</f>
        <v>74</v>
      </c>
      <c r="AD17" s="150">
        <f>IF(AND(ISNUMBER(AA17),ISNUMBER(AB17)),VLOOKUP(AB17,Bars!$A$2:$C$14,3)-VLOOKUP(AA17,Bars!$A$2:$C$14,2),"")</f>
        <v>114</v>
      </c>
      <c r="AE17" s="151">
        <f t="shared" si="36"/>
        <v>5.92</v>
      </c>
      <c r="AF17" s="159">
        <f t="shared" si="37"/>
        <v>9.120000000000001</v>
      </c>
    </row>
    <row r="18" ht="12.75">
      <c r="A18" s="126" t="s">
        <v>226</v>
      </c>
    </row>
    <row r="19" spans="2:32" ht="12.75">
      <c r="B19" s="196" t="s">
        <v>178</v>
      </c>
      <c r="C19">
        <v>13</v>
      </c>
      <c r="D19">
        <v>14</v>
      </c>
      <c r="E19" s="117" t="s">
        <v>156</v>
      </c>
      <c r="F19" s="117" t="s">
        <v>157</v>
      </c>
      <c r="H19" s="117" t="s">
        <v>214</v>
      </c>
      <c r="I19" s="135" t="s">
        <v>215</v>
      </c>
      <c r="J19" s="138">
        <f aca="true" ca="1" t="shared" si="38" ref="J19:J46">IF(ISBLANK($E19),"",INDIRECT($B19&amp;"!"&amp;$E19&amp;$C19))</f>
        <v>0.41180555555555554</v>
      </c>
      <c r="K19" s="138">
        <f aca="true" ca="1" t="shared" si="39" ref="K19:K46">IF(ISBLANK($E19),"",INDIRECT($B19&amp;"!"&amp;$E19&amp;$D19))</f>
        <v>0.4291666666666667</v>
      </c>
      <c r="L19" s="152">
        <f aca="true" t="shared" si="40" ref="L19:L24">IF(AND(ISNUMBER(J19),ISNUMBER(K19)),(K19-J19)*24*60,"")</f>
        <v>25.00000000000007</v>
      </c>
      <c r="M19" s="142">
        <f aca="true" ca="1" t="shared" si="41" ref="M19:M24">IF(ISBLANK($H19),"",IF(ISNUMBER(INDIRECT($B19&amp;"!"&amp;$H19&amp;$C19)),INDIRECT($B19&amp;"!"&amp;$H19&amp;$C19),""))</f>
        <v>34</v>
      </c>
      <c r="N19" s="143">
        <f aca="true" ca="1" t="shared" si="42" ref="N19:N24">IF(ISBLANK($H19),"",IF(ISNUMBER(INDIRECT($B19&amp;"!"&amp;$H19&amp;$D19)),INDIRECT($B19&amp;"!"&amp;$H19&amp;$D19),""))</f>
        <v>89</v>
      </c>
      <c r="O19" s="148">
        <f aca="true" ca="1" t="shared" si="43" ref="O19:O24">IF(ISBLANK($I19),"",INDIRECT($B19&amp;"!"&amp;$I19&amp;$D19))</f>
        <v>13.45</v>
      </c>
      <c r="P19" s="143">
        <f aca="true" t="shared" si="44" ref="P19:P24">IF(AND(ISNUMBER(O19),ISNUMBER(L19)),O19*1000/L19,"")</f>
        <v>537.9999999999985</v>
      </c>
      <c r="Q19" s="142">
        <f aca="true" ca="1" t="shared" si="45" ref="Q19:Q46">IF(ISBLANK($G19),"",INDIRECT($B19&amp;"!"&amp;$G19&amp;$C19))</f>
      </c>
      <c r="R19" s="143">
        <f aca="true" ca="1" t="shared" si="46" ref="R19:R46">IF(ISBLANK($G19),"",INDIRECT($B19&amp;"!"&amp;$G19&amp;$D19))</f>
      </c>
      <c r="S19" s="30">
        <f aca="true" t="shared" si="47" ref="S19:T24">IF(ISNUMBER(Q19),Q19/281*100,"")</f>
      </c>
      <c r="T19" s="144">
        <f t="shared" si="47"/>
      </c>
      <c r="U19" s="143">
        <f aca="true" t="shared" si="48" ref="U19:U24">IF(AND(ISNUMBER(Q19),ISNUMBER(R19)),R19-Q19,"")</f>
      </c>
      <c r="V19" s="157">
        <f aca="true" t="shared" si="49" ref="V19:V24">IF(ISNUMBER(U19),U19/281,"")</f>
      </c>
      <c r="W19" s="148">
        <f aca="true" t="shared" si="50" ref="W19:W24">IF(ISNUMBER(U19),U19/20,"")</f>
      </c>
      <c r="X19" s="202">
        <f aca="true" t="shared" si="51" ref="X19:X46">IF(ISNUMBER(U19),U19*0.08,"")</f>
      </c>
      <c r="Y19" s="144">
        <f aca="true" t="shared" si="52" ref="Y19:Y24">IF(AND(ISNUMBER(X19),ISNUMBER(L19)),X19*1000/L19,"")</f>
      </c>
      <c r="Z19" s="205">
        <f aca="true" t="shared" si="53" ref="Z19:Z24">IF(AND(ISNUMBER(O19),ISNUMBER(X19)),O19/X19-1,"")</f>
      </c>
      <c r="AA19" s="150">
        <f aca="true" ca="1" t="shared" si="54" ref="AA19:AA46">IF(ISBLANK($F19),"",INDIRECT($B19&amp;"!"&amp;$F19&amp;$C19))</f>
        <v>3</v>
      </c>
      <c r="AB19" s="150">
        <f aca="true" ca="1" t="shared" si="55" ref="AB19:AB46">IF(ISBLANK($F19),"",INDIRECT($B19&amp;"!"&amp;$F19&amp;$D19))</f>
        <v>10</v>
      </c>
      <c r="AC19" s="150">
        <f>IF(AND(ISNUMBER(AA19),ISNUMBER(AB19)),VLOOKUP(AB19,Bars!$A$2:$C$14,2)-VLOOKUP(AA19,Bars!$A$2:$C$14,3),"")</f>
        <v>118</v>
      </c>
      <c r="AD19" s="150">
        <f>IF(AND(ISNUMBER(AA19),ISNUMBER(AB19)),VLOOKUP(AB19,Bars!$A$2:$C$14,3)-VLOOKUP(AA19,Bars!$A$2:$C$14,2),"")</f>
        <v>152</v>
      </c>
      <c r="AE19" s="151">
        <f aca="true" t="shared" si="56" ref="AE19:AE24">IF(ISNUMBER(AC19),AC19*0.08,"")</f>
        <v>9.44</v>
      </c>
      <c r="AF19" s="159">
        <f aca="true" t="shared" si="57" ref="AF19:AF24">IF(ISNUMBER(AD19),AD19*0.08,"")</f>
        <v>12.16</v>
      </c>
    </row>
    <row r="20" spans="2:32" ht="12.75">
      <c r="B20" s="196" t="s">
        <v>179</v>
      </c>
      <c r="C20">
        <v>13</v>
      </c>
      <c r="D20">
        <v>14</v>
      </c>
      <c r="H20" s="117" t="s">
        <v>214</v>
      </c>
      <c r="I20" s="135" t="s">
        <v>215</v>
      </c>
      <c r="J20" s="138">
        <f ca="1" t="shared" si="38"/>
      </c>
      <c r="K20" s="138">
        <f ca="1" t="shared" si="39"/>
      </c>
      <c r="L20" s="152">
        <f t="shared" si="40"/>
      </c>
      <c r="M20" s="142">
        <f ca="1" t="shared" si="41"/>
        <v>49</v>
      </c>
      <c r="N20" s="143">
        <f ca="1" t="shared" si="42"/>
        <v>90</v>
      </c>
      <c r="O20" s="148">
        <f ca="1" t="shared" si="43"/>
        <v>8.6</v>
      </c>
      <c r="P20" s="143">
        <f t="shared" si="44"/>
      </c>
      <c r="Q20" s="142">
        <f ca="1" t="shared" si="45"/>
      </c>
      <c r="R20" s="143">
        <f ca="1" t="shared" si="46"/>
      </c>
      <c r="S20" s="30">
        <f t="shared" si="47"/>
      </c>
      <c r="T20" s="144">
        <f t="shared" si="47"/>
      </c>
      <c r="U20" s="143">
        <f t="shared" si="48"/>
      </c>
      <c r="V20" s="157">
        <f t="shared" si="49"/>
      </c>
      <c r="W20" s="148">
        <f t="shared" si="50"/>
      </c>
      <c r="X20" s="202">
        <f t="shared" si="51"/>
      </c>
      <c r="Y20" s="144">
        <f t="shared" si="52"/>
      </c>
      <c r="Z20" s="205">
        <f t="shared" si="53"/>
      </c>
      <c r="AA20" s="150">
        <f ca="1" t="shared" si="54"/>
      </c>
      <c r="AB20" s="150">
        <f ca="1" t="shared" si="55"/>
      </c>
      <c r="AC20" s="150">
        <f>IF(AND(ISNUMBER(AA20),ISNUMBER(AB20)),VLOOKUP(AB20,Bars!$A$2:$C$14,2)-VLOOKUP(AA20,Bars!$A$2:$C$14,3),"")</f>
      </c>
      <c r="AD20" s="150">
        <f>IF(AND(ISNUMBER(AA20),ISNUMBER(AB20)),VLOOKUP(AB20,Bars!$A$2:$C$14,3)-VLOOKUP(AA20,Bars!$A$2:$C$14,2),"")</f>
      </c>
      <c r="AE20" s="151">
        <f t="shared" si="56"/>
      </c>
      <c r="AF20" s="159">
        <f t="shared" si="57"/>
      </c>
    </row>
    <row r="21" spans="2:32" ht="12.75">
      <c r="B21" s="196" t="s">
        <v>144</v>
      </c>
      <c r="C21">
        <v>13</v>
      </c>
      <c r="D21">
        <v>14</v>
      </c>
      <c r="F21" s="117" t="s">
        <v>157</v>
      </c>
      <c r="G21" s="117" t="s">
        <v>154</v>
      </c>
      <c r="H21" s="117" t="s">
        <v>214</v>
      </c>
      <c r="J21" s="138">
        <f ca="1" t="shared" si="38"/>
      </c>
      <c r="K21" s="138">
        <f ca="1" t="shared" si="39"/>
      </c>
      <c r="L21" s="152">
        <f t="shared" si="40"/>
      </c>
      <c r="M21" s="142">
        <f ca="1" t="shared" si="41"/>
        <v>36</v>
      </c>
      <c r="N21" s="143">
        <f ca="1" t="shared" si="42"/>
        <v>98</v>
      </c>
      <c r="O21" s="148">
        <f ca="1" t="shared" si="43"/>
      </c>
      <c r="P21" s="143">
        <f t="shared" si="44"/>
      </c>
      <c r="Q21" s="142">
        <f ca="1" t="shared" si="45"/>
        <v>92</v>
      </c>
      <c r="R21" s="143">
        <f ca="1" t="shared" si="46"/>
        <v>244</v>
      </c>
      <c r="S21" s="30">
        <f t="shared" si="47"/>
        <v>32.74021352313167</v>
      </c>
      <c r="T21" s="144">
        <f t="shared" si="47"/>
        <v>86.83274021352312</v>
      </c>
      <c r="U21" s="143">
        <f t="shared" si="48"/>
        <v>152</v>
      </c>
      <c r="V21" s="157">
        <f t="shared" si="49"/>
        <v>0.5409252669039146</v>
      </c>
      <c r="W21" s="148">
        <f t="shared" si="50"/>
        <v>7.6</v>
      </c>
      <c r="X21" s="202">
        <f t="shared" si="51"/>
        <v>12.16</v>
      </c>
      <c r="Y21" s="144">
        <f t="shared" si="52"/>
      </c>
      <c r="Z21" s="205">
        <f t="shared" si="53"/>
      </c>
      <c r="AA21" s="150">
        <f ca="1" t="shared" si="54"/>
        <v>3</v>
      </c>
      <c r="AB21" s="150">
        <f ca="1" t="shared" si="55"/>
        <v>10</v>
      </c>
      <c r="AC21" s="150">
        <f>IF(AND(ISNUMBER(AA21),ISNUMBER(AB21)),VLOOKUP(AB21,Bars!$A$2:$C$14,2)-VLOOKUP(AA21,Bars!$A$2:$C$14,3),"")</f>
        <v>118</v>
      </c>
      <c r="AD21" s="150">
        <f>IF(AND(ISNUMBER(AA21),ISNUMBER(AB21)),VLOOKUP(AB21,Bars!$A$2:$C$14,3)-VLOOKUP(AA21,Bars!$A$2:$C$14,2),"")</f>
        <v>152</v>
      </c>
      <c r="AE21" s="151">
        <f t="shared" si="56"/>
        <v>9.44</v>
      </c>
      <c r="AF21" s="159">
        <f t="shared" si="57"/>
        <v>12.16</v>
      </c>
    </row>
    <row r="22" spans="2:32" ht="12.75">
      <c r="B22" s="196" t="s">
        <v>180</v>
      </c>
      <c r="C22">
        <v>13</v>
      </c>
      <c r="D22">
        <v>14</v>
      </c>
      <c r="E22" s="117" t="s">
        <v>156</v>
      </c>
      <c r="F22" s="117" t="s">
        <v>157</v>
      </c>
      <c r="H22" s="117" t="s">
        <v>214</v>
      </c>
      <c r="I22" s="135" t="s">
        <v>215</v>
      </c>
      <c r="J22" s="138">
        <f ca="1" t="shared" si="38"/>
        <v>0.5034722222222222</v>
      </c>
      <c r="K22" s="138">
        <f ca="1" t="shared" si="39"/>
        <v>0.5208333333333334</v>
      </c>
      <c r="L22" s="152">
        <f t="shared" si="40"/>
        <v>25.00000000000007</v>
      </c>
      <c r="M22" s="142">
        <f ca="1" t="shared" si="41"/>
        <v>43</v>
      </c>
      <c r="N22" s="143">
        <f ca="1" t="shared" si="42"/>
        <v>89</v>
      </c>
      <c r="O22" s="148">
        <f ca="1" t="shared" si="43"/>
        <v>10.53</v>
      </c>
      <c r="P22" s="143">
        <f t="shared" si="44"/>
        <v>421.1999999999988</v>
      </c>
      <c r="Q22" s="142">
        <f ca="1" t="shared" si="45"/>
      </c>
      <c r="R22" s="143">
        <f ca="1" t="shared" si="46"/>
      </c>
      <c r="S22" s="30">
        <f t="shared" si="47"/>
      </c>
      <c r="T22" s="144">
        <f t="shared" si="47"/>
      </c>
      <c r="U22" s="143">
        <f t="shared" si="48"/>
      </c>
      <c r="V22" s="157">
        <f t="shared" si="49"/>
      </c>
      <c r="W22" s="148">
        <f t="shared" si="50"/>
      </c>
      <c r="X22" s="202">
        <f t="shared" si="51"/>
      </c>
      <c r="Y22" s="144">
        <f t="shared" si="52"/>
      </c>
      <c r="Z22" s="205">
        <f t="shared" si="53"/>
      </c>
      <c r="AA22" s="150">
        <f ca="1" t="shared" si="54"/>
        <v>3</v>
      </c>
      <c r="AB22" s="150">
        <f ca="1" t="shared" si="55"/>
        <v>10</v>
      </c>
      <c r="AC22" s="150">
        <f>IF(AND(ISNUMBER(AA22),ISNUMBER(AB22)),VLOOKUP(AB22,Bars!$A$2:$C$14,2)-VLOOKUP(AA22,Bars!$A$2:$C$14,3),"")</f>
        <v>118</v>
      </c>
      <c r="AD22" s="150">
        <f>IF(AND(ISNUMBER(AA22),ISNUMBER(AB22)),VLOOKUP(AB22,Bars!$A$2:$C$14,3)-VLOOKUP(AA22,Bars!$A$2:$C$14,2),"")</f>
        <v>152</v>
      </c>
      <c r="AE22" s="151">
        <f t="shared" si="56"/>
        <v>9.44</v>
      </c>
      <c r="AF22" s="159">
        <f t="shared" si="57"/>
        <v>12.16</v>
      </c>
    </row>
    <row r="23" spans="2:32" ht="12.75">
      <c r="B23" s="196" t="s">
        <v>145</v>
      </c>
      <c r="C23">
        <v>13</v>
      </c>
      <c r="D23">
        <v>14</v>
      </c>
      <c r="E23" s="117" t="s">
        <v>156</v>
      </c>
      <c r="F23" s="117" t="s">
        <v>157</v>
      </c>
      <c r="G23" s="117" t="s">
        <v>154</v>
      </c>
      <c r="H23" s="117" t="s">
        <v>214</v>
      </c>
      <c r="I23" s="135" t="s">
        <v>215</v>
      </c>
      <c r="J23" s="138">
        <f ca="1" t="shared" si="38"/>
        <v>0.5222222222222223</v>
      </c>
      <c r="K23" s="138">
        <f ca="1" t="shared" si="39"/>
        <v>0.5388888888888889</v>
      </c>
      <c r="L23" s="152">
        <f t="shared" si="40"/>
        <v>23.999999999999915</v>
      </c>
      <c r="M23" s="142">
        <f ca="1" t="shared" si="41"/>
        <v>35</v>
      </c>
      <c r="N23" s="143">
        <f ca="1" t="shared" si="42"/>
        <v>89</v>
      </c>
      <c r="O23" s="148">
        <f ca="1" t="shared" si="43"/>
        <v>11.88</v>
      </c>
      <c r="P23" s="143">
        <f t="shared" si="44"/>
        <v>495.00000000000176</v>
      </c>
      <c r="Q23" s="142">
        <f ca="1" t="shared" si="45"/>
        <v>94</v>
      </c>
      <c r="R23" s="143">
        <f ca="1" t="shared" si="46"/>
        <v>225</v>
      </c>
      <c r="S23" s="30">
        <f t="shared" si="47"/>
        <v>33.45195729537366</v>
      </c>
      <c r="T23" s="144">
        <f t="shared" si="47"/>
        <v>80.0711743772242</v>
      </c>
      <c r="U23" s="143">
        <f t="shared" si="48"/>
        <v>131</v>
      </c>
      <c r="V23" s="157">
        <f t="shared" si="49"/>
        <v>0.46619217081850534</v>
      </c>
      <c r="W23" s="148">
        <f t="shared" si="50"/>
        <v>6.55</v>
      </c>
      <c r="X23" s="202">
        <f t="shared" si="51"/>
        <v>10.48</v>
      </c>
      <c r="Y23" s="144">
        <f t="shared" si="52"/>
        <v>436.6666666666682</v>
      </c>
      <c r="Z23" s="205">
        <f t="shared" si="53"/>
        <v>0.13358778625954204</v>
      </c>
      <c r="AA23" s="150">
        <f ca="1" t="shared" si="54"/>
        <v>3</v>
      </c>
      <c r="AB23" s="150">
        <f ca="1" t="shared" si="55"/>
        <v>9</v>
      </c>
      <c r="AC23" s="150">
        <f>IF(AND(ISNUMBER(AA23),ISNUMBER(AB23)),VLOOKUP(AB23,Bars!$A$2:$C$14,2)-VLOOKUP(AA23,Bars!$A$2:$C$14,3),"")</f>
        <v>97</v>
      </c>
      <c r="AD23" s="150">
        <f>IF(AND(ISNUMBER(AA23),ISNUMBER(AB23)),VLOOKUP(AB23,Bars!$A$2:$C$14,3)-VLOOKUP(AA23,Bars!$A$2:$C$14,2),"")</f>
        <v>136</v>
      </c>
      <c r="AE23" s="151">
        <f t="shared" si="56"/>
        <v>7.76</v>
      </c>
      <c r="AF23" s="159">
        <f t="shared" si="57"/>
        <v>10.88</v>
      </c>
    </row>
    <row r="24" spans="2:32" ht="12.75">
      <c r="B24" s="196" t="s">
        <v>181</v>
      </c>
      <c r="C24">
        <v>13</v>
      </c>
      <c r="D24">
        <v>14</v>
      </c>
      <c r="E24" s="117" t="s">
        <v>156</v>
      </c>
      <c r="F24" s="117" t="s">
        <v>157</v>
      </c>
      <c r="H24" s="117" t="s">
        <v>214</v>
      </c>
      <c r="I24" s="135" t="s">
        <v>215</v>
      </c>
      <c r="J24" s="138">
        <f ca="1" t="shared" si="38"/>
        <v>0.14166666666666666</v>
      </c>
      <c r="K24" s="138">
        <f ca="1" t="shared" si="39"/>
        <v>0.15208333333333332</v>
      </c>
      <c r="L24" s="152">
        <f t="shared" si="40"/>
        <v>14.999999999999986</v>
      </c>
      <c r="M24" s="142">
        <f ca="1" t="shared" si="41"/>
        <v>43</v>
      </c>
      <c r="N24" s="143">
        <f ca="1" t="shared" si="42"/>
        <v>88</v>
      </c>
      <c r="O24" s="148">
        <f ca="1" t="shared" si="43"/>
        <v>9.54</v>
      </c>
      <c r="P24" s="143">
        <f t="shared" si="44"/>
        <v>636.0000000000006</v>
      </c>
      <c r="Q24" s="142">
        <f ca="1" t="shared" si="45"/>
      </c>
      <c r="R24" s="143">
        <f ca="1" t="shared" si="46"/>
      </c>
      <c r="S24" s="30">
        <f t="shared" si="47"/>
      </c>
      <c r="T24" s="144">
        <f t="shared" si="47"/>
      </c>
      <c r="U24" s="143">
        <f t="shared" si="48"/>
      </c>
      <c r="V24" s="157">
        <f t="shared" si="49"/>
      </c>
      <c r="W24" s="148">
        <f t="shared" si="50"/>
      </c>
      <c r="X24" s="202">
        <f t="shared" si="51"/>
      </c>
      <c r="Y24" s="144">
        <f t="shared" si="52"/>
      </c>
      <c r="Z24" s="205">
        <f t="shared" si="53"/>
      </c>
      <c r="AA24" s="150">
        <f ca="1" t="shared" si="54"/>
        <v>4</v>
      </c>
      <c r="AB24" s="150">
        <f ca="1" t="shared" si="55"/>
        <v>9</v>
      </c>
      <c r="AC24" s="150">
        <f>IF(AND(ISNUMBER(AA24),ISNUMBER(AB24)),VLOOKUP(AB24,Bars!$A$2:$C$14,2)-VLOOKUP(AA24,Bars!$A$2:$C$14,3),"")</f>
        <v>78</v>
      </c>
      <c r="AD24" s="150">
        <f>IF(AND(ISNUMBER(AA24),ISNUMBER(AB24)),VLOOKUP(AB24,Bars!$A$2:$C$14,3)-VLOOKUP(AA24,Bars!$A$2:$C$14,2),"")</f>
        <v>116</v>
      </c>
      <c r="AE24" s="151">
        <f t="shared" si="56"/>
        <v>6.24</v>
      </c>
      <c r="AF24" s="159">
        <f t="shared" si="57"/>
        <v>9.28</v>
      </c>
    </row>
    <row r="25" spans="1:24" ht="12.75">
      <c r="A25" s="126" t="s">
        <v>193</v>
      </c>
      <c r="J25" s="138"/>
      <c r="K25" s="138"/>
      <c r="V25" s="157"/>
      <c r="W25" s="148"/>
      <c r="X25" s="202"/>
    </row>
    <row r="26" spans="2:32" ht="12.75">
      <c r="B26" s="196" t="s">
        <v>145</v>
      </c>
      <c r="C26">
        <v>23</v>
      </c>
      <c r="D26">
        <v>24</v>
      </c>
      <c r="E26" s="117" t="s">
        <v>156</v>
      </c>
      <c r="F26" s="117" t="s">
        <v>157</v>
      </c>
      <c r="G26" s="117" t="s">
        <v>154</v>
      </c>
      <c r="H26" s="117" t="s">
        <v>214</v>
      </c>
      <c r="I26" s="135" t="s">
        <v>215</v>
      </c>
      <c r="J26" s="138">
        <f ca="1" t="shared" si="38"/>
        <v>0.6444444444444445</v>
      </c>
      <c r="K26" s="138">
        <f ca="1" t="shared" si="39"/>
        <v>0.6763888888888889</v>
      </c>
      <c r="L26" s="152">
        <f>IF(AND(ISNUMBER(J26),ISNUMBER(K26)),(K26-J26)*24*60,"")</f>
        <v>46</v>
      </c>
      <c r="M26" s="142">
        <f ca="1">IF(ISBLANK($H26),"",IF(ISNUMBER(INDIRECT($B26&amp;"!"&amp;$H26&amp;$C26)),INDIRECT($B26&amp;"!"&amp;$H26&amp;$C26),""))</f>
        <v>65</v>
      </c>
      <c r="N26" s="143">
        <f ca="1">IF(ISBLANK($H26),"",IF(ISNUMBER(INDIRECT($B26&amp;"!"&amp;$H26&amp;$D26)),INDIRECT($B26&amp;"!"&amp;$H26&amp;$D26),""))</f>
        <v>98</v>
      </c>
      <c r="O26" s="148">
        <f ca="1">IF(ISBLANK($I26),"",INDIRECT($B26&amp;"!"&amp;$I26&amp;$D26))</f>
        <v>7.427</v>
      </c>
      <c r="P26" s="143">
        <f>IF(AND(ISNUMBER(O26),ISNUMBER(L26)),O26*1000/L26,"")</f>
        <v>161.45652173913044</v>
      </c>
      <c r="Q26" s="142">
        <f ca="1" t="shared" si="45"/>
        <v>182</v>
      </c>
      <c r="R26" s="143">
        <f ca="1" t="shared" si="46"/>
        <v>263</v>
      </c>
      <c r="S26" s="30">
        <f>IF(ISNUMBER(Q26),Q26/281*100,"")</f>
        <v>64.76868327402136</v>
      </c>
      <c r="T26" s="144">
        <f>IF(ISNUMBER(R26),R26/281*100,"")</f>
        <v>93.59430604982207</v>
      </c>
      <c r="U26" s="143">
        <f>IF(AND(ISNUMBER(Q26),ISNUMBER(R26)),R26-Q26,"")</f>
        <v>81</v>
      </c>
      <c r="V26" s="157">
        <f>IF(ISNUMBER(U26),U26/281,"")</f>
        <v>0.28825622775800713</v>
      </c>
      <c r="W26" s="148">
        <f>IF(ISNUMBER(U26),U26/20,"")</f>
        <v>4.05</v>
      </c>
      <c r="X26" s="202">
        <f t="shared" si="51"/>
        <v>6.48</v>
      </c>
      <c r="Y26" s="144">
        <f>IF(AND(ISNUMBER(X26),ISNUMBER(L26)),X26*1000/L26,"")</f>
        <v>140.8695652173913</v>
      </c>
      <c r="Z26" s="205">
        <f>IF(AND(ISNUMBER(O26),ISNUMBER(X26)),O26/X26-1,"")</f>
        <v>0.14614197530864192</v>
      </c>
      <c r="AA26" s="150">
        <f ca="1" t="shared" si="54"/>
        <v>7</v>
      </c>
      <c r="AB26" s="150">
        <f ca="1" t="shared" si="55"/>
        <v>12</v>
      </c>
      <c r="AC26" s="150">
        <f>IF(AND(ISNUMBER(AA26),ISNUMBER(AB26)),VLOOKUP(AB26,Bars!$A$2:$C$14,2)-VLOOKUP(AA26,Bars!$A$2:$C$14,3),"")</f>
        <v>76</v>
      </c>
      <c r="AD26" s="150">
        <f>IF(AND(ISNUMBER(AA26),ISNUMBER(AB26)),VLOOKUP(AB26,Bars!$A$2:$C$14,3)-VLOOKUP(AA26,Bars!$A$2:$C$14,2),"")</f>
        <v>115</v>
      </c>
      <c r="AE26" s="151">
        <f>IF(ISNUMBER(AC26),AC26*0.08,"")</f>
        <v>6.08</v>
      </c>
      <c r="AF26" s="159">
        <f>IF(ISNUMBER(AD26),AD26*0.08,"")</f>
        <v>9.200000000000001</v>
      </c>
    </row>
    <row r="27" spans="2:32" ht="12.75">
      <c r="B27" s="196" t="s">
        <v>181</v>
      </c>
      <c r="C27">
        <v>23</v>
      </c>
      <c r="D27">
        <v>24</v>
      </c>
      <c r="E27" s="117" t="s">
        <v>156</v>
      </c>
      <c r="F27" s="117" t="s">
        <v>157</v>
      </c>
      <c r="I27" s="135" t="s">
        <v>215</v>
      </c>
      <c r="J27" s="138">
        <f ca="1" t="shared" si="38"/>
        <v>0.21805555555555556</v>
      </c>
      <c r="K27" s="138">
        <f ca="1" t="shared" si="39"/>
        <v>0.2388888888888889</v>
      </c>
      <c r="L27" s="152">
        <f>IF(AND(ISNUMBER(J27),ISNUMBER(K27)),(K27-J27)*24*60,"")</f>
        <v>30.000000000000014</v>
      </c>
      <c r="M27" s="142">
        <f ca="1">IF(ISBLANK($H27),"",IF(ISNUMBER(INDIRECT($B27&amp;"!"&amp;$H27&amp;$C27)),INDIRECT($B27&amp;"!"&amp;$H27&amp;$C27),""))</f>
      </c>
      <c r="N27" s="143">
        <f ca="1">IF(ISBLANK($H27),"",IF(ISNUMBER(INDIRECT($B27&amp;"!"&amp;$H27&amp;$D27)),INDIRECT($B27&amp;"!"&amp;$H27&amp;$D27),""))</f>
      </c>
      <c r="O27" s="148">
        <f ca="1">IF(ISBLANK($I27),"",INDIRECT($B27&amp;"!"&amp;$I27&amp;$D27))</f>
        <v>7.4</v>
      </c>
      <c r="P27" s="143">
        <f>IF(AND(ISNUMBER(O27),ISNUMBER(L27)),O27*1000/L27,"")</f>
        <v>246.66666666666654</v>
      </c>
      <c r="Q27" s="142">
        <f ca="1" t="shared" si="45"/>
      </c>
      <c r="R27" s="143">
        <f ca="1" t="shared" si="46"/>
      </c>
      <c r="S27" s="30">
        <f>IF(ISNUMBER(Q27),Q27/281*100,"")</f>
      </c>
      <c r="T27" s="144">
        <f>IF(ISNUMBER(R27),R27/281*100,"")</f>
      </c>
      <c r="U27" s="143">
        <f>IF(AND(ISNUMBER(Q27),ISNUMBER(R27)),R27-Q27,"")</f>
      </c>
      <c r="V27" s="157">
        <f>IF(ISNUMBER(U27),U27/281,"")</f>
      </c>
      <c r="W27" s="148">
        <f>IF(ISNUMBER(U27),U27/20,"")</f>
      </c>
      <c r="X27" s="202">
        <f t="shared" si="51"/>
      </c>
      <c r="Y27" s="144">
        <f>IF(AND(ISNUMBER(X27),ISNUMBER(L27)),X27*1000/L27,"")</f>
      </c>
      <c r="Z27" s="205">
        <f>IF(AND(ISNUMBER(O27),ISNUMBER(X27)),O27/X27-1,"")</f>
      </c>
      <c r="AA27" s="150">
        <f ca="1" t="shared" si="54"/>
        <v>5</v>
      </c>
      <c r="AB27" s="150">
        <f ca="1" t="shared" si="55"/>
        <v>9</v>
      </c>
      <c r="AC27" s="150">
        <f>IF(AND(ISNUMBER(AA27),ISNUMBER(AB27)),VLOOKUP(AB27,Bars!$A$2:$C$14,2)-VLOOKUP(AA27,Bars!$A$2:$C$14,3),"")</f>
        <v>58</v>
      </c>
      <c r="AD27" s="150">
        <f>IF(AND(ISNUMBER(AA27),ISNUMBER(AB27)),VLOOKUP(AB27,Bars!$A$2:$C$14,3)-VLOOKUP(AA27,Bars!$A$2:$C$14,2),"")</f>
        <v>97</v>
      </c>
      <c r="AE27" s="151">
        <f>IF(ISNUMBER(AC27),AC27*0.08,"")</f>
        <v>4.64</v>
      </c>
      <c r="AF27" s="159">
        <f>IF(ISNUMBER(AD27),AD27*0.08,"")</f>
        <v>7.76</v>
      </c>
    </row>
    <row r="28" spans="1:24" ht="12.75">
      <c r="A28" s="126" t="s">
        <v>227</v>
      </c>
      <c r="J28" s="138"/>
      <c r="K28" s="138"/>
      <c r="V28" s="157"/>
      <c r="W28" s="148"/>
      <c r="X28" s="202"/>
    </row>
    <row r="29" spans="2:32" ht="12.75">
      <c r="B29" s="196" t="s">
        <v>178</v>
      </c>
      <c r="C29">
        <v>27</v>
      </c>
      <c r="D29">
        <v>28</v>
      </c>
      <c r="E29" s="117" t="s">
        <v>156</v>
      </c>
      <c r="F29" s="117" t="s">
        <v>157</v>
      </c>
      <c r="H29" s="117" t="s">
        <v>214</v>
      </c>
      <c r="I29" s="135" t="s">
        <v>215</v>
      </c>
      <c r="J29" s="138">
        <f ca="1" t="shared" si="38"/>
        <v>0.7569444444444445</v>
      </c>
      <c r="K29" s="138">
        <f ca="1" t="shared" si="39"/>
        <v>0.7722222222222223</v>
      </c>
      <c r="L29" s="152">
        <f aca="true" t="shared" si="58" ref="L29:L34">IF(AND(ISNUMBER(J29),ISNUMBER(K29)),(K29-J29)*24*60,"")</f>
        <v>21.999999999999922</v>
      </c>
      <c r="M29" s="142">
        <f aca="true" ca="1" t="shared" si="59" ref="M29:M34">IF(ISBLANK($H29),"",IF(ISNUMBER(INDIRECT($B29&amp;"!"&amp;$H29&amp;$C29)),INDIRECT($B29&amp;"!"&amp;$H29&amp;$C29),""))</f>
        <v>73</v>
      </c>
      <c r="N29" s="143">
        <f aca="true" ca="1" t="shared" si="60" ref="N29:N34">IF(ISBLANK($H29),"",IF(ISNUMBER(INDIRECT($B29&amp;"!"&amp;$H29&amp;$D29)),INDIRECT($B29&amp;"!"&amp;$H29&amp;$D29),""))</f>
        <v>98</v>
      </c>
      <c r="O29" s="148">
        <f aca="true" ca="1" t="shared" si="61" ref="O29:O34">IF(ISBLANK($I29),"",INDIRECT($B29&amp;"!"&amp;$I29&amp;$D29))</f>
        <v>4.16</v>
      </c>
      <c r="P29" s="143">
        <f aca="true" t="shared" si="62" ref="P29:P34">IF(AND(ISNUMBER(O29),ISNUMBER(L29)),O29*1000/L29,"")</f>
        <v>189.09090909090978</v>
      </c>
      <c r="Q29" s="142">
        <f ca="1" t="shared" si="45"/>
      </c>
      <c r="R29" s="143">
        <f ca="1" t="shared" si="46"/>
      </c>
      <c r="S29" s="30">
        <f aca="true" t="shared" si="63" ref="S29:T34">IF(ISNUMBER(Q29),Q29/281*100,"")</f>
      </c>
      <c r="T29" s="144">
        <f t="shared" si="63"/>
      </c>
      <c r="U29" s="143">
        <f aca="true" t="shared" si="64" ref="U29:U34">IF(AND(ISNUMBER(Q29),ISNUMBER(R29)),R29-Q29,"")</f>
      </c>
      <c r="V29" s="157">
        <f aca="true" t="shared" si="65" ref="V29:V34">IF(ISNUMBER(U29),U29/281,"")</f>
      </c>
      <c r="W29" s="148">
        <f aca="true" t="shared" si="66" ref="W29:W34">IF(ISNUMBER(U29),U29/20,"")</f>
      </c>
      <c r="X29" s="202">
        <f t="shared" si="51"/>
      </c>
      <c r="Y29" s="144">
        <f aca="true" t="shared" si="67" ref="Y29:Y34">IF(AND(ISNUMBER(X29),ISNUMBER(L29)),X29*1000/L29,"")</f>
      </c>
      <c r="Z29" s="205">
        <f aca="true" t="shared" si="68" ref="Z29:Z34">IF(AND(ISNUMBER(O29),ISNUMBER(X29)),O29/X29-1,"")</f>
      </c>
      <c r="AA29" s="150">
        <f ca="1" t="shared" si="54"/>
        <v>9</v>
      </c>
      <c r="AB29" s="150">
        <f ca="1" t="shared" si="55"/>
        <v>11</v>
      </c>
      <c r="AC29" s="150">
        <f>IF(AND(ISNUMBER(AA29),ISNUMBER(AB29)),VLOOKUP(AB29,Bars!$A$2:$C$14,2)-VLOOKUP(AA29,Bars!$A$2:$C$14,3),"")</f>
        <v>17</v>
      </c>
      <c r="AD29" s="150">
        <f>IF(AND(ISNUMBER(AA29),ISNUMBER(AB29)),VLOOKUP(AB29,Bars!$A$2:$C$14,3)-VLOOKUP(AA29,Bars!$A$2:$C$14,2),"")</f>
        <v>57</v>
      </c>
      <c r="AE29" s="151">
        <f aca="true" t="shared" si="69" ref="AE29:AE34">IF(ISNUMBER(AC29),AC29*0.08,"")</f>
        <v>1.36</v>
      </c>
      <c r="AF29" s="159">
        <f aca="true" t="shared" si="70" ref="AF29:AF34">IF(ISNUMBER(AD29),AD29*0.08,"")</f>
        <v>4.5600000000000005</v>
      </c>
    </row>
    <row r="30" spans="2:32" ht="12.75">
      <c r="B30" s="196" t="s">
        <v>144</v>
      </c>
      <c r="C30">
        <v>27</v>
      </c>
      <c r="D30">
        <v>28</v>
      </c>
      <c r="F30" s="117" t="s">
        <v>157</v>
      </c>
      <c r="G30" s="117" t="s">
        <v>154</v>
      </c>
      <c r="H30" s="117" t="s">
        <v>214</v>
      </c>
      <c r="I30" s="135" t="s">
        <v>215</v>
      </c>
      <c r="J30" s="138">
        <f ca="1" t="shared" si="38"/>
      </c>
      <c r="K30" s="138">
        <f ca="1" t="shared" si="39"/>
      </c>
      <c r="L30" s="152">
        <f t="shared" si="58"/>
      </c>
      <c r="M30" s="142">
        <f ca="1" t="shared" si="59"/>
        <v>71</v>
      </c>
      <c r="N30" s="143">
        <f ca="1" t="shared" si="60"/>
        <v>98</v>
      </c>
      <c r="O30" s="148">
        <f ca="1" t="shared" si="61"/>
        <v>5.475</v>
      </c>
      <c r="P30" s="143">
        <f t="shared" si="62"/>
      </c>
      <c r="Q30" s="142">
        <f ca="1" t="shared" si="45"/>
        <v>200</v>
      </c>
      <c r="R30" s="143">
        <f ca="1" t="shared" si="46"/>
        <v>262</v>
      </c>
      <c r="S30" s="30">
        <f t="shared" si="63"/>
        <v>71.17437722419929</v>
      </c>
      <c r="T30" s="144">
        <f t="shared" si="63"/>
        <v>93.23843416370107</v>
      </c>
      <c r="U30" s="143">
        <f t="shared" si="64"/>
        <v>62</v>
      </c>
      <c r="V30" s="157">
        <f t="shared" si="65"/>
        <v>0.2206405693950178</v>
      </c>
      <c r="W30" s="148">
        <f t="shared" si="66"/>
        <v>3.1</v>
      </c>
      <c r="X30" s="202">
        <f t="shared" si="51"/>
        <v>4.96</v>
      </c>
      <c r="Y30" s="144">
        <f t="shared" si="67"/>
      </c>
      <c r="Z30" s="205">
        <f t="shared" si="68"/>
        <v>0.10383064516129026</v>
      </c>
      <c r="AA30" s="150">
        <f ca="1" t="shared" si="54"/>
        <v>9</v>
      </c>
      <c r="AB30" s="150">
        <f ca="1" t="shared" si="55"/>
        <v>12</v>
      </c>
      <c r="AC30" s="150">
        <f>IF(AND(ISNUMBER(AA30),ISNUMBER(AB30)),VLOOKUP(AB30,Bars!$A$2:$C$14,2)-VLOOKUP(AA30,Bars!$A$2:$C$14,3),"")</f>
        <v>38</v>
      </c>
      <c r="AD30" s="150">
        <f>IF(AND(ISNUMBER(AA30),ISNUMBER(AB30)),VLOOKUP(AB30,Bars!$A$2:$C$14,3)-VLOOKUP(AA30,Bars!$A$2:$C$14,2),"")</f>
        <v>79</v>
      </c>
      <c r="AE30" s="151">
        <f t="shared" si="69"/>
        <v>3.04</v>
      </c>
      <c r="AF30" s="159">
        <f t="shared" si="70"/>
        <v>6.32</v>
      </c>
    </row>
    <row r="31" spans="2:32" ht="12.75">
      <c r="B31" s="196" t="s">
        <v>180</v>
      </c>
      <c r="C31">
        <v>27</v>
      </c>
      <c r="D31">
        <v>28</v>
      </c>
      <c r="E31" s="117" t="s">
        <v>156</v>
      </c>
      <c r="F31" s="117" t="s">
        <v>157</v>
      </c>
      <c r="H31" s="117" t="s">
        <v>214</v>
      </c>
      <c r="I31" s="135" t="s">
        <v>215</v>
      </c>
      <c r="J31" s="138">
        <f ca="1" t="shared" si="38"/>
        <v>0.38819444444444445</v>
      </c>
      <c r="K31" s="138">
        <f ca="1" t="shared" si="39"/>
        <v>0.4201388888888889</v>
      </c>
      <c r="L31" s="152">
        <f t="shared" si="58"/>
        <v>46</v>
      </c>
      <c r="M31" s="142">
        <f ca="1" t="shared" si="59"/>
        <v>71</v>
      </c>
      <c r="N31" s="143">
        <f ca="1" t="shared" si="60"/>
        <v>98</v>
      </c>
      <c r="O31" s="148">
        <f ca="1" t="shared" si="61"/>
        <v>5.79</v>
      </c>
      <c r="P31" s="143">
        <f t="shared" si="62"/>
        <v>125.8695652173913</v>
      </c>
      <c r="Q31" s="142">
        <f ca="1" t="shared" si="45"/>
      </c>
      <c r="R31" s="143">
        <f ca="1" t="shared" si="46"/>
      </c>
      <c r="S31" s="30">
        <f t="shared" si="63"/>
      </c>
      <c r="T31" s="144">
        <f t="shared" si="63"/>
      </c>
      <c r="U31" s="143">
        <f t="shared" si="64"/>
      </c>
      <c r="V31" s="157">
        <f t="shared" si="65"/>
      </c>
      <c r="W31" s="148">
        <f t="shared" si="66"/>
      </c>
      <c r="X31" s="202">
        <f t="shared" si="51"/>
      </c>
      <c r="Y31" s="144">
        <f t="shared" si="67"/>
      </c>
      <c r="Z31" s="205">
        <f t="shared" si="68"/>
      </c>
      <c r="AA31" s="150">
        <f ca="1" t="shared" si="54"/>
        <v>8</v>
      </c>
      <c r="AB31" s="150">
        <f ca="1" t="shared" si="55"/>
        <v>12</v>
      </c>
      <c r="AC31" s="150">
        <f>IF(AND(ISNUMBER(AA31),ISNUMBER(AB31)),VLOOKUP(AB31,Bars!$A$2:$C$14,2)-VLOOKUP(AA31,Bars!$A$2:$C$14,3),"")</f>
        <v>59</v>
      </c>
      <c r="AD31" s="150">
        <f>IF(AND(ISNUMBER(AA31),ISNUMBER(AB31)),VLOOKUP(AB31,Bars!$A$2:$C$14,3)-VLOOKUP(AA31,Bars!$A$2:$C$14,2),"")</f>
        <v>96</v>
      </c>
      <c r="AE31" s="151">
        <f t="shared" si="69"/>
        <v>4.72</v>
      </c>
      <c r="AF31" s="159">
        <f t="shared" si="70"/>
        <v>7.68</v>
      </c>
    </row>
    <row r="32" spans="2:32" ht="12.75">
      <c r="B32" s="196" t="s">
        <v>145</v>
      </c>
      <c r="C32">
        <v>27</v>
      </c>
      <c r="D32">
        <v>28</v>
      </c>
      <c r="E32" s="117" t="s">
        <v>156</v>
      </c>
      <c r="F32" s="117" t="s">
        <v>157</v>
      </c>
      <c r="G32" s="117" t="s">
        <v>154</v>
      </c>
      <c r="H32" s="117" t="s">
        <v>214</v>
      </c>
      <c r="I32" s="135" t="s">
        <v>215</v>
      </c>
      <c r="J32" s="138">
        <f ca="1" t="shared" si="38"/>
        <v>0.7409722222222223</v>
      </c>
      <c r="K32" s="138">
        <f ca="1" t="shared" si="39"/>
        <v>0.7569444444444445</v>
      </c>
      <c r="L32" s="152">
        <f t="shared" si="58"/>
        <v>23.000000000000078</v>
      </c>
      <c r="M32" s="142">
        <f ca="1" t="shared" si="59"/>
        <v>69</v>
      </c>
      <c r="N32" s="143">
        <f ca="1" t="shared" si="60"/>
        <v>98</v>
      </c>
      <c r="O32" s="148">
        <f ca="1" t="shared" si="61"/>
        <v>5.682</v>
      </c>
      <c r="P32" s="143">
        <f t="shared" si="62"/>
        <v>247.04347826086874</v>
      </c>
      <c r="Q32" s="142">
        <f ca="1" t="shared" si="45"/>
        <v>195</v>
      </c>
      <c r="R32" s="143">
        <f ca="1" t="shared" si="46"/>
        <v>255</v>
      </c>
      <c r="S32" s="30">
        <f t="shared" si="63"/>
        <v>69.3950177935943</v>
      </c>
      <c r="T32" s="144">
        <f t="shared" si="63"/>
        <v>90.74733096085409</v>
      </c>
      <c r="U32" s="143">
        <f t="shared" si="64"/>
        <v>60</v>
      </c>
      <c r="V32" s="157">
        <f t="shared" si="65"/>
        <v>0.21352313167259787</v>
      </c>
      <c r="W32" s="148">
        <f t="shared" si="66"/>
        <v>3</v>
      </c>
      <c r="X32" s="202">
        <f t="shared" si="51"/>
        <v>4.8</v>
      </c>
      <c r="Y32" s="144">
        <f t="shared" si="67"/>
        <v>208.69565217391232</v>
      </c>
      <c r="Z32" s="205">
        <f t="shared" si="68"/>
        <v>0.18375000000000008</v>
      </c>
      <c r="AA32" s="150">
        <f ca="1" t="shared" si="54"/>
        <v>8</v>
      </c>
      <c r="AB32" s="150">
        <f ca="1" t="shared" si="55"/>
        <v>11</v>
      </c>
      <c r="AC32" s="150">
        <f>IF(AND(ISNUMBER(AA32),ISNUMBER(AB32)),VLOOKUP(AB32,Bars!$A$2:$C$14,2)-VLOOKUP(AA32,Bars!$A$2:$C$14,3),"")</f>
        <v>38</v>
      </c>
      <c r="AD32" s="150">
        <f>IF(AND(ISNUMBER(AA32),ISNUMBER(AB32)),VLOOKUP(AB32,Bars!$A$2:$C$14,3)-VLOOKUP(AA32,Bars!$A$2:$C$14,2),"")</f>
        <v>74</v>
      </c>
      <c r="AE32" s="151">
        <f t="shared" si="69"/>
        <v>3.04</v>
      </c>
      <c r="AF32" s="159">
        <f t="shared" si="70"/>
        <v>5.92</v>
      </c>
    </row>
    <row r="33" spans="2:32" ht="12.75">
      <c r="B33" s="196" t="s">
        <v>146</v>
      </c>
      <c r="C33">
        <v>19</v>
      </c>
      <c r="D33">
        <v>20</v>
      </c>
      <c r="E33" s="117" t="s">
        <v>156</v>
      </c>
      <c r="F33" s="117" t="s">
        <v>157</v>
      </c>
      <c r="G33" s="117" t="s">
        <v>154</v>
      </c>
      <c r="H33" s="117" t="s">
        <v>214</v>
      </c>
      <c r="J33" s="138">
        <f ca="1">IF(ISBLANK($E33),"",INDIRECT($B33&amp;"!"&amp;$E33&amp;$C33))</f>
        <v>0.08125</v>
      </c>
      <c r="K33" s="138">
        <f ca="1">IF(ISBLANK($E33),"",INDIRECT($B33&amp;"!"&amp;$E33&amp;$D33))</f>
        <v>0.11944444444444445</v>
      </c>
      <c r="L33" s="152">
        <f>IF(AND(ISNUMBER(J33),ISNUMBER(K33)),(K33-J33)*24*60,"")</f>
        <v>55.00000000000001</v>
      </c>
      <c r="M33" s="142">
        <f ca="1" t="shared" si="59"/>
        <v>46</v>
      </c>
      <c r="N33" s="143">
        <f ca="1" t="shared" si="60"/>
        <v>98</v>
      </c>
      <c r="O33" s="148">
        <f ca="1" t="shared" si="61"/>
      </c>
      <c r="P33" s="143">
        <f t="shared" si="62"/>
      </c>
      <c r="Q33" s="142">
        <f ca="1">IF(ISBLANK($G33),"",INDIRECT($B33&amp;"!"&amp;$G33&amp;$C33))</f>
        <v>147</v>
      </c>
      <c r="R33" s="143">
        <f ca="1">IF(ISBLANK($G33),"",INDIRECT($B33&amp;"!"&amp;$G33&amp;$D33))</f>
        <v>269</v>
      </c>
      <c r="S33" s="30">
        <f t="shared" si="63"/>
        <v>52.313167259786475</v>
      </c>
      <c r="T33" s="144">
        <f t="shared" si="63"/>
        <v>95.72953736654804</v>
      </c>
      <c r="U33" s="143">
        <f t="shared" si="64"/>
        <v>122</v>
      </c>
      <c r="V33" s="157">
        <f t="shared" si="65"/>
        <v>0.43416370106761565</v>
      </c>
      <c r="W33" s="148">
        <f t="shared" si="66"/>
        <v>6.1</v>
      </c>
      <c r="X33" s="202">
        <f>IF(ISNUMBER(U33),U33*0.08,"")</f>
        <v>9.76</v>
      </c>
      <c r="Y33" s="144">
        <f t="shared" si="67"/>
        <v>177.45454545454544</v>
      </c>
      <c r="Z33" s="205">
        <f t="shared" si="68"/>
      </c>
      <c r="AA33" s="150">
        <f ca="1">IF(ISBLANK($F33),"",INDIRECT($B33&amp;"!"&amp;$F33&amp;$C33))</f>
        <v>5</v>
      </c>
      <c r="AB33" s="150">
        <f ca="1">IF(ISBLANK($F33),"",INDIRECT($B33&amp;"!"&amp;$F33&amp;$D33))</f>
        <v>12</v>
      </c>
      <c r="AC33" s="150">
        <f>IF(AND(ISNUMBER(AA33),ISNUMBER(AB33)),VLOOKUP(AB33,Bars!$A$2:$C$14,2)-VLOOKUP(AA33,Bars!$A$2:$C$14,3),"")</f>
        <v>116</v>
      </c>
      <c r="AD33" s="150">
        <f>IF(AND(ISNUMBER(AA33),ISNUMBER(AB33)),VLOOKUP(AB33,Bars!$A$2:$C$14,3)-VLOOKUP(AA33,Bars!$A$2:$C$14,2),"")</f>
        <v>156</v>
      </c>
      <c r="AE33" s="151">
        <f>IF(ISNUMBER(AC33),AC33*0.08,"")</f>
        <v>9.28</v>
      </c>
      <c r="AF33" s="159">
        <f>IF(ISNUMBER(AD33),AD33*0.08,"")</f>
        <v>12.48</v>
      </c>
    </row>
    <row r="34" spans="2:32" ht="12.75">
      <c r="B34" s="196" t="s">
        <v>181</v>
      </c>
      <c r="C34">
        <v>27</v>
      </c>
      <c r="D34">
        <v>28</v>
      </c>
      <c r="E34" s="117" t="s">
        <v>156</v>
      </c>
      <c r="F34" s="117" t="s">
        <v>157</v>
      </c>
      <c r="H34" s="117" t="s">
        <v>214</v>
      </c>
      <c r="I34" s="135" t="s">
        <v>215</v>
      </c>
      <c r="J34" s="138">
        <f ca="1" t="shared" si="38"/>
        <v>0.2722222222222222</v>
      </c>
      <c r="K34" s="138">
        <f ca="1" t="shared" si="39"/>
        <v>0.28125</v>
      </c>
      <c r="L34" s="152">
        <f t="shared" si="58"/>
        <v>13.000000000000034</v>
      </c>
      <c r="M34" s="142">
        <f ca="1" t="shared" si="59"/>
        <v>65</v>
      </c>
      <c r="N34" s="143">
        <f ca="1" t="shared" si="60"/>
        <v>95</v>
      </c>
      <c r="O34" s="148">
        <f ca="1" t="shared" si="61"/>
        <v>5.45</v>
      </c>
      <c r="P34" s="143">
        <f t="shared" si="62"/>
        <v>419.23076923076815</v>
      </c>
      <c r="Q34" s="142">
        <f ca="1" t="shared" si="45"/>
      </c>
      <c r="R34" s="143">
        <f ca="1" t="shared" si="46"/>
      </c>
      <c r="S34" s="30">
        <f t="shared" si="63"/>
      </c>
      <c r="T34" s="144">
        <f t="shared" si="63"/>
      </c>
      <c r="U34" s="143">
        <f t="shared" si="64"/>
      </c>
      <c r="V34" s="157">
        <f t="shared" si="65"/>
      </c>
      <c r="W34" s="148">
        <f t="shared" si="66"/>
      </c>
      <c r="X34" s="202">
        <f t="shared" si="51"/>
      </c>
      <c r="Y34" s="144">
        <f t="shared" si="67"/>
      </c>
      <c r="Z34" s="205">
        <f t="shared" si="68"/>
      </c>
      <c r="AA34" s="150">
        <f ca="1" t="shared" si="54"/>
        <v>7</v>
      </c>
      <c r="AB34" s="150">
        <f ca="1" t="shared" si="55"/>
        <v>10</v>
      </c>
      <c r="AC34" s="150">
        <f>IF(AND(ISNUMBER(AA34),ISNUMBER(AB34)),VLOOKUP(AB34,Bars!$A$2:$C$14,2)-VLOOKUP(AA34,Bars!$A$2:$C$14,3),"")</f>
        <v>39</v>
      </c>
      <c r="AD34" s="150">
        <f>IF(AND(ISNUMBER(AA34),ISNUMBER(AB34)),VLOOKUP(AB34,Bars!$A$2:$C$14,3)-VLOOKUP(AA34,Bars!$A$2:$C$14,2),"")</f>
        <v>72</v>
      </c>
      <c r="AE34" s="151">
        <f t="shared" si="69"/>
        <v>3.12</v>
      </c>
      <c r="AF34" s="159">
        <f t="shared" si="70"/>
        <v>5.76</v>
      </c>
    </row>
    <row r="35" ht="12.75">
      <c r="A35" s="126" t="s">
        <v>228</v>
      </c>
    </row>
    <row r="36" spans="2:32" ht="12.75">
      <c r="B36" s="196" t="s">
        <v>179</v>
      </c>
      <c r="C36">
        <v>31</v>
      </c>
      <c r="D36">
        <v>32</v>
      </c>
      <c r="E36" s="117" t="s">
        <v>156</v>
      </c>
      <c r="F36" s="117" t="s">
        <v>157</v>
      </c>
      <c r="H36" s="117" t="s">
        <v>214</v>
      </c>
      <c r="I36" s="135" t="s">
        <v>215</v>
      </c>
      <c r="J36" s="138">
        <f ca="1" t="shared" si="38"/>
        <v>0.74375</v>
      </c>
      <c r="K36" s="138">
        <f ca="1" t="shared" si="39"/>
        <v>0.7583333333333333</v>
      </c>
      <c r="L36" s="152">
        <f aca="true" t="shared" si="71" ref="L36:L41">IF(AND(ISNUMBER(J36),ISNUMBER(K36)),(K36-J36)*24*60,"")</f>
        <v>20.999999999999925</v>
      </c>
      <c r="M36" s="142">
        <f aca="true" ca="1" t="shared" si="72" ref="M36:M41">IF(ISBLANK($H36),"",IF(ISNUMBER(INDIRECT($B36&amp;"!"&amp;$H36&amp;$C36)),INDIRECT($B36&amp;"!"&amp;$H36&amp;$C36),""))</f>
        <v>40</v>
      </c>
      <c r="N36" s="143">
        <f aca="true" ca="1" t="shared" si="73" ref="N36:N41">IF(ISBLANK($H36),"",IF(ISNUMBER(INDIRECT($B36&amp;"!"&amp;$H36&amp;$D36)),INDIRECT($B36&amp;"!"&amp;$H36&amp;$D36),""))</f>
        <v>89</v>
      </c>
      <c r="O36" s="148">
        <f aca="true" ca="1" t="shared" si="74" ref="O36:O41">IF(ISBLANK($I36),"",INDIRECT($B36&amp;"!"&amp;$I36&amp;$D36))</f>
        <v>10.6</v>
      </c>
      <c r="P36" s="143">
        <f aca="true" t="shared" si="75" ref="P36:P41">IF(AND(ISNUMBER(O36),ISNUMBER(L36)),O36*1000/L36,"")</f>
        <v>504.7619047619066</v>
      </c>
      <c r="Q36" s="142">
        <f ca="1" t="shared" si="45"/>
      </c>
      <c r="R36" s="143">
        <f ca="1" t="shared" si="46"/>
      </c>
      <c r="S36" s="30">
        <f aca="true" t="shared" si="76" ref="S36:T41">IF(ISNUMBER(Q36),Q36/281*100,"")</f>
      </c>
      <c r="T36" s="144">
        <f t="shared" si="76"/>
      </c>
      <c r="U36" s="143">
        <f aca="true" t="shared" si="77" ref="U36:U41">IF(AND(ISNUMBER(Q36),ISNUMBER(R36)),R36-Q36,"")</f>
      </c>
      <c r="V36" s="157">
        <f aca="true" t="shared" si="78" ref="V36:V41">IF(ISNUMBER(U36),U36/281,"")</f>
      </c>
      <c r="W36" s="148">
        <f aca="true" t="shared" si="79" ref="W36:W41">IF(ISNUMBER(U36),U36/20,"")</f>
      </c>
      <c r="X36" s="202">
        <f t="shared" si="51"/>
      </c>
      <c r="Y36" s="144">
        <f aca="true" t="shared" si="80" ref="Y36:Y41">IF(AND(ISNUMBER(X36),ISNUMBER(L36)),X36*1000/L36,"")</f>
      </c>
      <c r="Z36" s="205">
        <f aca="true" t="shared" si="81" ref="Z36:Z41">IF(AND(ISNUMBER(O36),ISNUMBER(X36)),O36/X36-1,"")</f>
      </c>
      <c r="AA36" s="150">
        <f ca="1" t="shared" si="54"/>
        <v>4</v>
      </c>
      <c r="AB36" s="150">
        <f ca="1" t="shared" si="55"/>
        <v>9</v>
      </c>
      <c r="AC36" s="150">
        <f>IF(AND(ISNUMBER(AA36),ISNUMBER(AB36)),VLOOKUP(AB36,Bars!$A$2:$C$14,2)-VLOOKUP(AA36,Bars!$A$2:$C$14,3),"")</f>
        <v>78</v>
      </c>
      <c r="AD36" s="150">
        <f>IF(AND(ISNUMBER(AA36),ISNUMBER(AB36)),VLOOKUP(AB36,Bars!$A$2:$C$14,3)-VLOOKUP(AA36,Bars!$A$2:$C$14,2),"")</f>
        <v>116</v>
      </c>
      <c r="AE36" s="151">
        <f aca="true" t="shared" si="82" ref="AE36:AE41">IF(ISNUMBER(AC36),AC36*0.08,"")</f>
        <v>6.24</v>
      </c>
      <c r="AF36" s="159">
        <f aca="true" t="shared" si="83" ref="AF36:AF41">IF(ISNUMBER(AD36),AD36*0.08,"")</f>
        <v>9.28</v>
      </c>
    </row>
    <row r="37" spans="2:32" ht="12.75">
      <c r="B37" s="196" t="s">
        <v>144</v>
      </c>
      <c r="C37">
        <v>31</v>
      </c>
      <c r="D37">
        <v>32</v>
      </c>
      <c r="E37" s="117" t="s">
        <v>156</v>
      </c>
      <c r="F37" s="117" t="s">
        <v>157</v>
      </c>
      <c r="G37" s="117" t="s">
        <v>154</v>
      </c>
      <c r="H37" s="117" t="s">
        <v>214</v>
      </c>
      <c r="I37" s="135" t="s">
        <v>215</v>
      </c>
      <c r="J37" s="138">
        <f ca="1" t="shared" si="38"/>
        <v>0.44027777777777777</v>
      </c>
      <c r="K37" s="138">
        <f ca="1" t="shared" si="39"/>
        <v>0.4583333333333333</v>
      </c>
      <c r="L37" s="152">
        <f t="shared" si="71"/>
        <v>25.999999999999986</v>
      </c>
      <c r="M37" s="142">
        <f ca="1" t="shared" si="72"/>
        <v>41</v>
      </c>
      <c r="N37" s="143">
        <f ca="1" t="shared" si="73"/>
        <v>89</v>
      </c>
      <c r="O37" s="148">
        <f ca="1" t="shared" si="74"/>
        <v>9.607</v>
      </c>
      <c r="P37" s="143">
        <f t="shared" si="75"/>
        <v>369.5000000000002</v>
      </c>
      <c r="Q37" s="142">
        <f ca="1" t="shared" si="45"/>
        <v>106</v>
      </c>
      <c r="R37" s="143">
        <f ca="1" t="shared" si="46"/>
        <v>224</v>
      </c>
      <c r="S37" s="30">
        <f t="shared" si="76"/>
        <v>37.72241992882562</v>
      </c>
      <c r="T37" s="144">
        <f t="shared" si="76"/>
        <v>79.7153024911032</v>
      </c>
      <c r="U37" s="143">
        <f t="shared" si="77"/>
        <v>118</v>
      </c>
      <c r="V37" s="157">
        <f t="shared" si="78"/>
        <v>0.4199288256227758</v>
      </c>
      <c r="W37" s="148">
        <f t="shared" si="79"/>
        <v>5.9</v>
      </c>
      <c r="X37" s="202">
        <f t="shared" si="51"/>
        <v>9.44</v>
      </c>
      <c r="Y37" s="144">
        <f t="shared" si="80"/>
        <v>363.07692307692326</v>
      </c>
      <c r="Z37" s="205">
        <f t="shared" si="81"/>
        <v>0.017690677966101687</v>
      </c>
      <c r="AA37" s="150">
        <f ca="1" t="shared" si="54"/>
        <v>3</v>
      </c>
      <c r="AB37" s="150">
        <f ca="1" t="shared" si="55"/>
        <v>9</v>
      </c>
      <c r="AC37" s="150">
        <f>IF(AND(ISNUMBER(AA37),ISNUMBER(AB37)),VLOOKUP(AB37,Bars!$A$2:$C$14,2)-VLOOKUP(AA37,Bars!$A$2:$C$14,3),"")</f>
        <v>97</v>
      </c>
      <c r="AD37" s="150">
        <f>IF(AND(ISNUMBER(AA37),ISNUMBER(AB37)),VLOOKUP(AB37,Bars!$A$2:$C$14,3)-VLOOKUP(AA37,Bars!$A$2:$C$14,2),"")</f>
        <v>136</v>
      </c>
      <c r="AE37" s="151">
        <f t="shared" si="82"/>
        <v>7.76</v>
      </c>
      <c r="AF37" s="159">
        <f t="shared" si="83"/>
        <v>10.88</v>
      </c>
    </row>
    <row r="38" spans="2:32" ht="12.75">
      <c r="B38" s="196" t="s">
        <v>180</v>
      </c>
      <c r="C38">
        <v>31</v>
      </c>
      <c r="D38">
        <v>32</v>
      </c>
      <c r="E38" s="117" t="s">
        <v>156</v>
      </c>
      <c r="F38" s="117" t="s">
        <v>157</v>
      </c>
      <c r="H38" s="117" t="s">
        <v>214</v>
      </c>
      <c r="I38" s="135" t="s">
        <v>215</v>
      </c>
      <c r="J38" s="138">
        <f ca="1" t="shared" si="38"/>
        <v>0.5361111111111111</v>
      </c>
      <c r="K38" s="138">
        <f ca="1" t="shared" si="39"/>
        <v>0.5555555555555556</v>
      </c>
      <c r="L38" s="152">
        <f t="shared" si="71"/>
        <v>28.00000000000006</v>
      </c>
      <c r="M38" s="142">
        <f ca="1" t="shared" si="72"/>
        <v>59</v>
      </c>
      <c r="N38" s="143">
        <f ca="1" t="shared" si="73"/>
        <v>89</v>
      </c>
      <c r="O38" s="148">
        <f ca="1" t="shared" si="74"/>
        <v>11.36</v>
      </c>
      <c r="P38" s="143">
        <f t="shared" si="75"/>
        <v>405.7142857142848</v>
      </c>
      <c r="Q38" s="142">
        <f ca="1" t="shared" si="45"/>
      </c>
      <c r="R38" s="143">
        <f ca="1" t="shared" si="46"/>
      </c>
      <c r="S38" s="30">
        <f t="shared" si="76"/>
      </c>
      <c r="T38" s="144">
        <f t="shared" si="76"/>
      </c>
      <c r="U38" s="143">
        <f t="shared" si="77"/>
      </c>
      <c r="V38" s="157">
        <f t="shared" si="78"/>
      </c>
      <c r="W38" s="148">
        <f t="shared" si="79"/>
      </c>
      <c r="X38" s="202">
        <f t="shared" si="51"/>
      </c>
      <c r="Y38" s="144">
        <f t="shared" si="80"/>
      </c>
      <c r="Z38" s="205">
        <f t="shared" si="81"/>
      </c>
      <c r="AA38" s="150">
        <f ca="1" t="shared" si="54"/>
        <v>3</v>
      </c>
      <c r="AB38" s="150">
        <f ca="1" t="shared" si="55"/>
        <v>9</v>
      </c>
      <c r="AC38" s="150">
        <f>IF(AND(ISNUMBER(AA38),ISNUMBER(AB38)),VLOOKUP(AB38,Bars!$A$2:$C$14,2)-VLOOKUP(AA38,Bars!$A$2:$C$14,3),"")</f>
        <v>97</v>
      </c>
      <c r="AD38" s="150">
        <f>IF(AND(ISNUMBER(AA38),ISNUMBER(AB38)),VLOOKUP(AB38,Bars!$A$2:$C$14,3)-VLOOKUP(AA38,Bars!$A$2:$C$14,2),"")</f>
        <v>136</v>
      </c>
      <c r="AE38" s="151">
        <f t="shared" si="82"/>
        <v>7.76</v>
      </c>
      <c r="AF38" s="159">
        <f t="shared" si="83"/>
        <v>10.88</v>
      </c>
    </row>
    <row r="39" spans="2:32" ht="12.75">
      <c r="B39" s="196" t="s">
        <v>145</v>
      </c>
      <c r="C39">
        <v>31</v>
      </c>
      <c r="D39">
        <v>32</v>
      </c>
      <c r="E39" s="117" t="s">
        <v>156</v>
      </c>
      <c r="F39" s="117" t="s">
        <v>157</v>
      </c>
      <c r="G39" s="117" t="s">
        <v>154</v>
      </c>
      <c r="H39" s="117" t="s">
        <v>214</v>
      </c>
      <c r="I39" s="135" t="s">
        <v>215</v>
      </c>
      <c r="J39" s="138">
        <f ca="1" t="shared" si="38"/>
        <v>0.8055555555555555</v>
      </c>
      <c r="K39" s="138">
        <f ca="1" t="shared" si="39"/>
        <v>0.8201388888888889</v>
      </c>
      <c r="L39" s="152">
        <f t="shared" si="71"/>
        <v>21.000000000000085</v>
      </c>
      <c r="M39" s="142">
        <f ca="1" t="shared" si="72"/>
        <v>34</v>
      </c>
      <c r="N39" s="143">
        <f ca="1" t="shared" si="73"/>
        <v>89</v>
      </c>
      <c r="O39" s="148">
        <f ca="1" t="shared" si="74"/>
        <v>12.57</v>
      </c>
      <c r="P39" s="143">
        <f t="shared" si="75"/>
        <v>598.5714285714262</v>
      </c>
      <c r="Q39" s="142">
        <f ca="1" t="shared" si="45"/>
        <v>92</v>
      </c>
      <c r="R39" s="143">
        <f ca="1" t="shared" si="46"/>
        <v>232</v>
      </c>
      <c r="S39" s="30">
        <f t="shared" si="76"/>
        <v>32.74021352313167</v>
      </c>
      <c r="T39" s="144">
        <f t="shared" si="76"/>
        <v>82.56227758007117</v>
      </c>
      <c r="U39" s="143">
        <f t="shared" si="77"/>
        <v>140</v>
      </c>
      <c r="V39" s="157">
        <f t="shared" si="78"/>
        <v>0.498220640569395</v>
      </c>
      <c r="W39" s="148">
        <f t="shared" si="79"/>
        <v>7</v>
      </c>
      <c r="X39" s="202">
        <f t="shared" si="51"/>
        <v>11.200000000000001</v>
      </c>
      <c r="Y39" s="144">
        <f t="shared" si="80"/>
        <v>533.3333333333312</v>
      </c>
      <c r="Z39" s="205">
        <f t="shared" si="81"/>
        <v>0.12232142857142847</v>
      </c>
      <c r="AA39" s="150">
        <f ca="1" t="shared" si="54"/>
        <v>2</v>
      </c>
      <c r="AB39" s="150">
        <f ca="1" t="shared" si="55"/>
        <v>10</v>
      </c>
      <c r="AC39" s="150">
        <f>IF(AND(ISNUMBER(AA39),ISNUMBER(AB39)),VLOOKUP(AB39,Bars!$A$2:$C$14,2)-VLOOKUP(AA39,Bars!$A$2:$C$14,3),"")</f>
        <v>138</v>
      </c>
      <c r="AD39" s="150">
        <f>IF(AND(ISNUMBER(AA39),ISNUMBER(AB39)),VLOOKUP(AB39,Bars!$A$2:$C$14,3)-VLOOKUP(AA39,Bars!$A$2:$C$14,2),"")</f>
        <v>177</v>
      </c>
      <c r="AE39" s="151">
        <f t="shared" si="82"/>
        <v>11.040000000000001</v>
      </c>
      <c r="AF39" s="159">
        <f t="shared" si="83"/>
        <v>14.16</v>
      </c>
    </row>
    <row r="40" spans="2:32" ht="12.75">
      <c r="B40" s="196" t="s">
        <v>146</v>
      </c>
      <c r="C40">
        <v>27</v>
      </c>
      <c r="D40">
        <v>28</v>
      </c>
      <c r="E40" s="117" t="s">
        <v>156</v>
      </c>
      <c r="F40" s="117" t="s">
        <v>157</v>
      </c>
      <c r="G40" s="117" t="s">
        <v>154</v>
      </c>
      <c r="H40" s="117" t="s">
        <v>214</v>
      </c>
      <c r="I40" s="135" t="s">
        <v>215</v>
      </c>
      <c r="J40" s="138">
        <f ca="1" t="shared" si="38"/>
        <v>0.1763888888888889</v>
      </c>
      <c r="K40" s="138">
        <f ca="1" t="shared" si="39"/>
        <v>0.2034722222222222</v>
      </c>
      <c r="L40" s="152">
        <f t="shared" si="71"/>
        <v>38.99999999999994</v>
      </c>
      <c r="M40" s="142">
        <f ca="1" t="shared" si="72"/>
      </c>
      <c r="N40" s="143">
        <f ca="1" t="shared" si="73"/>
        <v>89</v>
      </c>
      <c r="O40" s="148">
        <f ca="1" t="shared" si="74"/>
        <v>11</v>
      </c>
      <c r="P40" s="143">
        <f t="shared" si="75"/>
        <v>282.05128205128244</v>
      </c>
      <c r="Q40" s="142">
        <f ca="1" t="shared" si="45"/>
        <v>91</v>
      </c>
      <c r="R40" s="143">
        <f ca="1" t="shared" si="46"/>
        <v>237</v>
      </c>
      <c r="S40" s="30">
        <f t="shared" si="76"/>
        <v>32.38434163701068</v>
      </c>
      <c r="T40" s="144">
        <f t="shared" si="76"/>
        <v>84.34163701067615</v>
      </c>
      <c r="U40" s="143">
        <f t="shared" si="77"/>
        <v>146</v>
      </c>
      <c r="V40" s="157">
        <f t="shared" si="78"/>
        <v>0.5195729537366548</v>
      </c>
      <c r="W40" s="148">
        <f t="shared" si="79"/>
        <v>7.3</v>
      </c>
      <c r="X40" s="202">
        <f t="shared" si="51"/>
        <v>11.68</v>
      </c>
      <c r="Y40" s="144">
        <f t="shared" si="80"/>
        <v>299.4871794871799</v>
      </c>
      <c r="Z40" s="205">
        <f t="shared" si="81"/>
        <v>-0.05821917808219179</v>
      </c>
      <c r="AA40" s="150">
        <f ca="1" t="shared" si="54"/>
        <v>3</v>
      </c>
      <c r="AB40" s="150">
        <f ca="1" t="shared" si="55"/>
        <v>10</v>
      </c>
      <c r="AC40" s="150">
        <f>IF(AND(ISNUMBER(AA40),ISNUMBER(AB40)),VLOOKUP(AB40,Bars!$A$2:$C$14,2)-VLOOKUP(AA40,Bars!$A$2:$C$14,3),"")</f>
        <v>118</v>
      </c>
      <c r="AD40" s="150">
        <f>IF(AND(ISNUMBER(AA40),ISNUMBER(AB40)),VLOOKUP(AB40,Bars!$A$2:$C$14,3)-VLOOKUP(AA40,Bars!$A$2:$C$14,2),"")</f>
        <v>152</v>
      </c>
      <c r="AE40" s="151">
        <f t="shared" si="82"/>
        <v>9.44</v>
      </c>
      <c r="AF40" s="159">
        <f t="shared" si="83"/>
        <v>12.16</v>
      </c>
    </row>
    <row r="41" spans="2:32" ht="12.75">
      <c r="B41" s="196" t="s">
        <v>181</v>
      </c>
      <c r="C41">
        <v>31</v>
      </c>
      <c r="D41">
        <v>32</v>
      </c>
      <c r="E41" s="117" t="s">
        <v>156</v>
      </c>
      <c r="F41" s="117" t="s">
        <v>157</v>
      </c>
      <c r="H41" s="117" t="s">
        <v>214</v>
      </c>
      <c r="I41" s="135" t="s">
        <v>215</v>
      </c>
      <c r="J41" s="138">
        <f ca="1" t="shared" si="38"/>
        <v>0.3354166666666667</v>
      </c>
      <c r="K41" s="138">
        <f ca="1" t="shared" si="39"/>
        <v>0.3458333333333334</v>
      </c>
      <c r="L41" s="152">
        <f t="shared" si="71"/>
        <v>15.000000000000027</v>
      </c>
      <c r="M41" s="142">
        <f ca="1" t="shared" si="72"/>
        <v>33</v>
      </c>
      <c r="N41" s="143">
        <f ca="1" t="shared" si="73"/>
        <v>75</v>
      </c>
      <c r="O41" s="148">
        <f ca="1" t="shared" si="74"/>
        <v>10</v>
      </c>
      <c r="P41" s="143">
        <f t="shared" si="75"/>
        <v>666.6666666666655</v>
      </c>
      <c r="Q41" s="142">
        <f ca="1" t="shared" si="45"/>
      </c>
      <c r="R41" s="143">
        <f ca="1" t="shared" si="46"/>
      </c>
      <c r="S41" s="30">
        <f t="shared" si="76"/>
      </c>
      <c r="T41" s="144">
        <f t="shared" si="76"/>
      </c>
      <c r="U41" s="143">
        <f t="shared" si="77"/>
      </c>
      <c r="V41" s="157">
        <f t="shared" si="78"/>
      </c>
      <c r="W41" s="148">
        <f t="shared" si="79"/>
      </c>
      <c r="X41" s="202">
        <f t="shared" si="51"/>
      </c>
      <c r="Y41" s="144">
        <f t="shared" si="80"/>
      </c>
      <c r="Z41" s="205">
        <f t="shared" si="81"/>
      </c>
      <c r="AA41" s="150">
        <f ca="1" t="shared" si="54"/>
        <v>3</v>
      </c>
      <c r="AB41" s="150">
        <f ca="1" t="shared" si="55"/>
        <v>8</v>
      </c>
      <c r="AC41" s="150">
        <f>IF(AND(ISNUMBER(AA41),ISNUMBER(AB41)),VLOOKUP(AB41,Bars!$A$2:$C$14,2)-VLOOKUP(AA41,Bars!$A$2:$C$14,3),"")</f>
        <v>80</v>
      </c>
      <c r="AD41" s="150">
        <f>IF(AND(ISNUMBER(AA41),ISNUMBER(AB41)),VLOOKUP(AB41,Bars!$A$2:$C$14,3)-VLOOKUP(AA41,Bars!$A$2:$C$14,2),"")</f>
        <v>115</v>
      </c>
      <c r="AE41" s="151">
        <f t="shared" si="82"/>
        <v>6.4</v>
      </c>
      <c r="AF41" s="159">
        <f t="shared" si="83"/>
        <v>9.200000000000001</v>
      </c>
    </row>
    <row r="42" ht="12.75">
      <c r="A42" s="126" t="s">
        <v>229</v>
      </c>
    </row>
    <row r="43" spans="2:32" ht="12.75">
      <c r="B43" s="196" t="s">
        <v>178</v>
      </c>
      <c r="C43">
        <v>35</v>
      </c>
      <c r="D43">
        <v>36</v>
      </c>
      <c r="E43" s="117" t="s">
        <v>156</v>
      </c>
      <c r="F43" s="117" t="s">
        <v>157</v>
      </c>
      <c r="H43" s="117" t="s">
        <v>214</v>
      </c>
      <c r="I43" s="135" t="s">
        <v>215</v>
      </c>
      <c r="J43" s="138">
        <f ca="1" t="shared" si="38"/>
        <v>0.8868055555555556</v>
      </c>
      <c r="K43" s="138">
        <f ca="1" t="shared" si="39"/>
        <v>0.9083333333333333</v>
      </c>
      <c r="L43" s="152">
        <f>IF(AND(ISNUMBER(J43),ISNUMBER(K43)),(K43-J43)*24*60,"")</f>
        <v>30.99999999999989</v>
      </c>
      <c r="M43" s="142">
        <f ca="1">IF(ISBLANK($H43),"",IF(ISNUMBER(INDIRECT($B43&amp;"!"&amp;$H43&amp;$C43)),INDIRECT($B43&amp;"!"&amp;$H43&amp;$C43),""))</f>
      </c>
      <c r="N43" s="143">
        <f ca="1">IF(ISBLANK($H43),"",IF(ISNUMBER(INDIRECT($B43&amp;"!"&amp;$H43&amp;$D43)),INDIRECT($B43&amp;"!"&amp;$H43&amp;$D43),""))</f>
        <v>89</v>
      </c>
      <c r="O43" s="148">
        <f ca="1">IF(ISBLANK($I43),"",INDIRECT($B43&amp;"!"&amp;$I43&amp;$D43))</f>
        <v>18</v>
      </c>
      <c r="P43" s="143">
        <f>IF(AND(ISNUMBER(O43),ISNUMBER(L43)),O43*1000/L43,"")</f>
        <v>580.6451612903246</v>
      </c>
      <c r="Q43" s="142">
        <f ca="1" t="shared" si="45"/>
      </c>
      <c r="R43" s="143">
        <f ca="1" t="shared" si="46"/>
      </c>
      <c r="S43" s="30">
        <f aca="true" t="shared" si="84" ref="S43:T46">IF(ISNUMBER(Q43),Q43/281*100,"")</f>
      </c>
      <c r="T43" s="144">
        <f t="shared" si="84"/>
      </c>
      <c r="U43" s="143">
        <f>IF(AND(ISNUMBER(Q43),ISNUMBER(R43)),R43-Q43,"")</f>
      </c>
      <c r="V43" s="157">
        <f>IF(ISNUMBER(U43),U43/281,"")</f>
      </c>
      <c r="W43" s="148">
        <f>IF(ISNUMBER(U43),U43/20,"")</f>
      </c>
      <c r="X43" s="202">
        <f t="shared" si="51"/>
      </c>
      <c r="Y43" s="144">
        <f>IF(AND(ISNUMBER(X43),ISNUMBER(L43)),X43*1000/L43,"")</f>
      </c>
      <c r="Z43" s="205">
        <f>IF(AND(ISNUMBER(O43),ISNUMBER(X43)),O43/X43-1,"")</f>
      </c>
      <c r="AA43" s="150">
        <f ca="1" t="shared" si="54"/>
        <v>0</v>
      </c>
      <c r="AB43" s="150">
        <f ca="1" t="shared" si="55"/>
        <v>9</v>
      </c>
      <c r="AC43" s="150">
        <f>IF(AND(ISNUMBER(AA43),ISNUMBER(AB43)),VLOOKUP(AB43,Bars!$A$2:$C$14,2)-VLOOKUP(AA43,Bars!$A$2:$C$14,3),"")</f>
        <v>160</v>
      </c>
      <c r="AD43" s="150">
        <f>IF(AND(ISNUMBER(AA43),ISNUMBER(AB43)),VLOOKUP(AB43,Bars!$A$2:$C$14,3)-VLOOKUP(AA43,Bars!$A$2:$C$14,2),"")</f>
        <v>220</v>
      </c>
      <c r="AE43" s="151">
        <f aca="true" t="shared" si="85" ref="AE43:AF46">IF(ISNUMBER(AC43),AC43*0.08,"")</f>
        <v>12.8</v>
      </c>
      <c r="AF43" s="159">
        <f t="shared" si="85"/>
        <v>17.6</v>
      </c>
    </row>
    <row r="44" spans="2:32" ht="12.75">
      <c r="B44" s="196" t="s">
        <v>144</v>
      </c>
      <c r="C44">
        <v>35</v>
      </c>
      <c r="D44">
        <v>36</v>
      </c>
      <c r="E44" s="117" t="s">
        <v>156</v>
      </c>
      <c r="F44" s="117" t="s">
        <v>157</v>
      </c>
      <c r="G44" s="117" t="s">
        <v>154</v>
      </c>
      <c r="H44" s="117" t="s">
        <v>214</v>
      </c>
      <c r="I44" s="135" t="s">
        <v>215</v>
      </c>
      <c r="J44" s="138">
        <f ca="1" t="shared" si="38"/>
        <v>0.5</v>
      </c>
      <c r="K44" s="138">
        <f ca="1" t="shared" si="39"/>
        <v>0.5097222222222222</v>
      </c>
      <c r="L44" s="152">
        <f>IF(AND(ISNUMBER(J44),ISNUMBER(K44)),(K44-J44)*24*60,"")</f>
        <v>13.99999999999995</v>
      </c>
      <c r="M44" s="142">
        <f ca="1">IF(ISBLANK($H44),"",IF(ISNUMBER(INDIRECT($B44&amp;"!"&amp;$H44&amp;$C44)),INDIRECT($B44&amp;"!"&amp;$H44&amp;$C44),""))</f>
        <v>59</v>
      </c>
      <c r="N44" s="143">
        <f ca="1">IF(ISBLANK($H44),"",IF(ISNUMBER(INDIRECT($B44&amp;"!"&amp;$H44&amp;$D44)),INDIRECT($B44&amp;"!"&amp;$H44&amp;$D44),""))</f>
        <v>88</v>
      </c>
      <c r="O44" s="148">
        <f ca="1">IF(ISBLANK($I44),"",INDIRECT($B44&amp;"!"&amp;$I44&amp;$D44))</f>
        <v>5.505</v>
      </c>
      <c r="P44" s="143">
        <f>IF(AND(ISNUMBER(O44),ISNUMBER(L44)),O44*1000/L44,"")</f>
        <v>393.2142857142871</v>
      </c>
      <c r="Q44" s="142">
        <f ca="1" t="shared" si="45"/>
        <v>164</v>
      </c>
      <c r="R44" s="143">
        <f ca="1" t="shared" si="46"/>
        <v>223</v>
      </c>
      <c r="S44" s="30">
        <f t="shared" si="84"/>
        <v>58.362989323843415</v>
      </c>
      <c r="T44" s="144">
        <f t="shared" si="84"/>
        <v>79.35943060498221</v>
      </c>
      <c r="U44" s="143">
        <f>IF(AND(ISNUMBER(Q44),ISNUMBER(R44)),R44-Q44,"")</f>
        <v>59</v>
      </c>
      <c r="V44" s="157">
        <f>IF(ISNUMBER(U44),U44/281,"")</f>
        <v>0.2099644128113879</v>
      </c>
      <c r="W44" s="148">
        <f>IF(ISNUMBER(U44),U44/20,"")</f>
        <v>2.95</v>
      </c>
      <c r="X44" s="202">
        <f t="shared" si="51"/>
        <v>4.72</v>
      </c>
      <c r="Y44" s="144">
        <f>IF(AND(ISNUMBER(X44),ISNUMBER(L44)),X44*1000/L44,"")</f>
        <v>337.14285714285836</v>
      </c>
      <c r="Z44" s="205">
        <f>IF(AND(ISNUMBER(O44),ISNUMBER(X44)),O44/X44-1,"")</f>
        <v>0.16631355932203395</v>
      </c>
      <c r="AA44" s="150">
        <f ca="1" t="shared" si="54"/>
        <v>7</v>
      </c>
      <c r="AB44" s="150">
        <f ca="1" t="shared" si="55"/>
        <v>9</v>
      </c>
      <c r="AC44" s="150">
        <f>IF(AND(ISNUMBER(AA44),ISNUMBER(AB44)),VLOOKUP(AB44,Bars!$A$2:$C$14,2)-VLOOKUP(AA44,Bars!$A$2:$C$14,3),"")</f>
        <v>18</v>
      </c>
      <c r="AD44" s="150">
        <f>IF(AND(ISNUMBER(AA44),ISNUMBER(AB44)),VLOOKUP(AB44,Bars!$A$2:$C$14,3)-VLOOKUP(AA44,Bars!$A$2:$C$14,2),"")</f>
        <v>56</v>
      </c>
      <c r="AE44" s="151">
        <f t="shared" si="85"/>
        <v>1.44</v>
      </c>
      <c r="AF44" s="159">
        <f t="shared" si="85"/>
        <v>4.48</v>
      </c>
    </row>
    <row r="45" spans="2:32" ht="12.75">
      <c r="B45" s="196" t="s">
        <v>146</v>
      </c>
      <c r="C45">
        <v>31</v>
      </c>
      <c r="D45">
        <v>32</v>
      </c>
      <c r="E45" s="117" t="s">
        <v>156</v>
      </c>
      <c r="F45" s="117" t="s">
        <v>157</v>
      </c>
      <c r="G45" s="117" t="s">
        <v>154</v>
      </c>
      <c r="H45" s="117" t="s">
        <v>214</v>
      </c>
      <c r="I45" s="135" t="s">
        <v>215</v>
      </c>
      <c r="J45" s="138">
        <f ca="1" t="shared" si="38"/>
        <v>0.22777777777777777</v>
      </c>
      <c r="K45" s="138">
        <f ca="1" t="shared" si="39"/>
        <v>0.2611111111111111</v>
      </c>
      <c r="L45" s="152">
        <f>IF(AND(ISNUMBER(J45),ISNUMBER(K45)),(K45-J45)*24*60,"")</f>
        <v>48.00000000000003</v>
      </c>
      <c r="M45" s="142">
        <f ca="1">IF(ISBLANK($H45),"",IF(ISNUMBER(INDIRECT($B45&amp;"!"&amp;$H45&amp;$C45)),INDIRECT($B45&amp;"!"&amp;$H45&amp;$C45),""))</f>
        <v>56</v>
      </c>
      <c r="N45" s="143">
        <f ca="1">IF(ISBLANK($H45),"",IF(ISNUMBER(INDIRECT($B45&amp;"!"&amp;$H45&amp;$D45)),INDIRECT($B45&amp;"!"&amp;$H45&amp;$D45),""))</f>
        <v>98</v>
      </c>
      <c r="O45" s="148">
        <f ca="1">IF(ISBLANK($I45),"",INDIRECT($B45&amp;"!"&amp;$I45&amp;$D45))</f>
        <v>11.11</v>
      </c>
      <c r="P45" s="143">
        <f>IF(AND(ISNUMBER(O45),ISNUMBER(L45)),O45*1000/L45,"")</f>
        <v>231.4583333333332</v>
      </c>
      <c r="Q45" s="142">
        <f ca="1" t="shared" si="45"/>
        <v>149</v>
      </c>
      <c r="R45" s="143">
        <f ca="1" t="shared" si="46"/>
        <v>271</v>
      </c>
      <c r="S45" s="30">
        <f t="shared" si="84"/>
        <v>53.02491103202846</v>
      </c>
      <c r="T45" s="144">
        <f t="shared" si="84"/>
        <v>96.44128113879003</v>
      </c>
      <c r="U45" s="143">
        <f>IF(AND(ISNUMBER(Q45),ISNUMBER(R45)),R45-Q45,"")</f>
        <v>122</v>
      </c>
      <c r="V45" s="157">
        <f>IF(ISNUMBER(U45),U45/281,"")</f>
        <v>0.43416370106761565</v>
      </c>
      <c r="W45" s="148">
        <f>IF(ISNUMBER(U45),U45/20,"")</f>
        <v>6.1</v>
      </c>
      <c r="X45" s="202">
        <f t="shared" si="51"/>
        <v>9.76</v>
      </c>
      <c r="Y45" s="144">
        <f>IF(AND(ISNUMBER(X45),ISNUMBER(L45)),X45*1000/L45,"")</f>
        <v>203.3333333333332</v>
      </c>
      <c r="Z45" s="205">
        <f>IF(AND(ISNUMBER(O45),ISNUMBER(X45)),O45/X45-1,"")</f>
        <v>0.1383196721311475</v>
      </c>
      <c r="AA45" s="150">
        <f ca="1" t="shared" si="54"/>
        <v>6</v>
      </c>
      <c r="AB45" s="150">
        <f ca="1" t="shared" si="55"/>
        <v>12</v>
      </c>
      <c r="AC45" s="150">
        <f>IF(AND(ISNUMBER(AA45),ISNUMBER(AB45)),VLOOKUP(AB45,Bars!$A$2:$C$14,2)-VLOOKUP(AA45,Bars!$A$2:$C$14,3),"")</f>
        <v>95</v>
      </c>
      <c r="AD45" s="150">
        <f>IF(AND(ISNUMBER(AA45),ISNUMBER(AB45)),VLOOKUP(AB45,Bars!$A$2:$C$14,3)-VLOOKUP(AA45,Bars!$A$2:$C$14,2),"")</f>
        <v>136</v>
      </c>
      <c r="AE45" s="151">
        <f t="shared" si="85"/>
        <v>7.6000000000000005</v>
      </c>
      <c r="AF45" s="159">
        <f t="shared" si="85"/>
        <v>10.88</v>
      </c>
    </row>
    <row r="46" spans="2:32" ht="12.75">
      <c r="B46" s="196" t="s">
        <v>181</v>
      </c>
      <c r="C46">
        <v>35</v>
      </c>
      <c r="D46">
        <v>36</v>
      </c>
      <c r="E46" s="117" t="s">
        <v>156</v>
      </c>
      <c r="F46" s="117" t="s">
        <v>157</v>
      </c>
      <c r="H46" s="117" t="s">
        <v>214</v>
      </c>
      <c r="I46" s="135" t="s">
        <v>215</v>
      </c>
      <c r="J46" s="138">
        <f ca="1" t="shared" si="38"/>
        <v>0.37152777777777773</v>
      </c>
      <c r="K46" s="138">
        <f ca="1" t="shared" si="39"/>
        <v>0.3833333333333333</v>
      </c>
      <c r="L46" s="152">
        <f>IF(AND(ISNUMBER(J46),ISNUMBER(K46)),(K46-J46)*24*60,"")</f>
        <v>17.00000000000002</v>
      </c>
      <c r="M46" s="142">
        <f ca="1">IF(ISBLANK($H46),"",IF(ISNUMBER(INDIRECT($B46&amp;"!"&amp;$H46&amp;$C46)),INDIRECT($B46&amp;"!"&amp;$H46&amp;$C46),""))</f>
        <v>54</v>
      </c>
      <c r="N46" s="143">
        <f ca="1">IF(ISBLANK($H46),"",IF(ISNUMBER(INDIRECT($B46&amp;"!"&amp;$H46&amp;$D46)),INDIRECT($B46&amp;"!"&amp;$H46&amp;$D46),""))</f>
        <v>86</v>
      </c>
      <c r="O46" s="148">
        <f ca="1">IF(ISBLANK($I46),"",INDIRECT($B46&amp;"!"&amp;$I46&amp;$D46))</f>
        <v>7.6</v>
      </c>
      <c r="P46" s="143">
        <f>IF(AND(ISNUMBER(O46),ISNUMBER(L46)),O46*1000/L46,"")</f>
        <v>447.0588235294112</v>
      </c>
      <c r="Q46" s="142">
        <f ca="1" t="shared" si="45"/>
      </c>
      <c r="R46" s="143">
        <f ca="1" t="shared" si="46"/>
      </c>
      <c r="S46" s="30">
        <f t="shared" si="84"/>
      </c>
      <c r="T46" s="144">
        <f t="shared" si="84"/>
      </c>
      <c r="U46" s="143">
        <f>IF(AND(ISNUMBER(Q46),ISNUMBER(R46)),R46-Q46,"")</f>
      </c>
      <c r="V46" s="157">
        <f>IF(ISNUMBER(U46),U46/281,"")</f>
      </c>
      <c r="W46" s="148">
        <f>IF(ISNUMBER(U46),U46/20,"")</f>
      </c>
      <c r="X46" s="202">
        <f t="shared" si="51"/>
      </c>
      <c r="Y46" s="144">
        <f>IF(AND(ISNUMBER(X46),ISNUMBER(L46)),X46*1000/L46,"")</f>
      </c>
      <c r="Z46" s="205">
        <f>IF(AND(ISNUMBER(O46),ISNUMBER(X46)),O46/X46-1,"")</f>
      </c>
      <c r="AA46" s="150">
        <f ca="1" t="shared" si="54"/>
        <v>6</v>
      </c>
      <c r="AB46" s="150">
        <f ca="1" t="shared" si="55"/>
        <v>9</v>
      </c>
      <c r="AC46" s="150">
        <f>IF(AND(ISNUMBER(AA46),ISNUMBER(AB46)),VLOOKUP(AB46,Bars!$A$2:$C$14,2)-VLOOKUP(AA46,Bars!$A$2:$C$14,3),"")</f>
        <v>37</v>
      </c>
      <c r="AD46" s="150">
        <f>IF(AND(ISNUMBER(AA46),ISNUMBER(AB46)),VLOOKUP(AB46,Bars!$A$2:$C$14,3)-VLOOKUP(AA46,Bars!$A$2:$C$14,2),"")</f>
        <v>77</v>
      </c>
      <c r="AE46" s="151">
        <f t="shared" si="85"/>
        <v>2.96</v>
      </c>
      <c r="AF46" s="159">
        <f t="shared" si="85"/>
        <v>6.16</v>
      </c>
    </row>
  </sheetData>
  <mergeCells count="7">
    <mergeCell ref="E1:I1"/>
    <mergeCell ref="C1:D1"/>
    <mergeCell ref="J1:L1"/>
    <mergeCell ref="AA1:AF1"/>
    <mergeCell ref="Q1:T1"/>
    <mergeCell ref="U1:Y1"/>
    <mergeCell ref="M1:P1"/>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Z27"/>
  <sheetViews>
    <sheetView workbookViewId="0" topLeftCell="A1">
      <selection activeCell="A2" sqref="A2"/>
    </sheetView>
  </sheetViews>
  <sheetFormatPr defaultColWidth="9.140625" defaultRowHeight="12.75"/>
  <cols>
    <col min="1" max="1" width="12.7109375" style="0" customWidth="1"/>
    <col min="2" max="2" width="5.7109375" style="0" customWidth="1"/>
    <col min="3" max="3" width="6.28125" style="0" customWidth="1"/>
    <col min="4" max="4" width="5.7109375" style="0" customWidth="1"/>
    <col min="5" max="7" width="4.7109375" style="0" customWidth="1"/>
    <col min="8" max="8" width="5.7109375" style="0" customWidth="1"/>
    <col min="9" max="10" width="4.7109375" style="0" customWidth="1"/>
    <col min="11" max="11" width="5.7109375" style="0" customWidth="1"/>
    <col min="12" max="13" width="4.7109375" style="0" customWidth="1"/>
    <col min="14" max="14" width="5.7109375" style="0" customWidth="1"/>
    <col min="15" max="15" width="4.7109375" style="0" customWidth="1"/>
    <col min="16" max="16" width="6.7109375" style="0" customWidth="1"/>
    <col min="17" max="20" width="5.7109375" style="29" customWidth="1"/>
    <col min="21" max="21" width="5.7109375" style="0" customWidth="1"/>
    <col min="22" max="25" width="5.7109375" style="29" customWidth="1"/>
    <col min="26" max="26" width="5.7109375" style="0" customWidth="1"/>
  </cols>
  <sheetData>
    <row r="1" spans="1:23" ht="12.75">
      <c r="A1" t="s">
        <v>312</v>
      </c>
      <c r="P1" s="189" t="s">
        <v>209</v>
      </c>
      <c r="Q1" s="186" t="s">
        <v>197</v>
      </c>
      <c r="R1" s="186"/>
      <c r="V1" s="187" t="s">
        <v>198</v>
      </c>
      <c r="W1" s="187"/>
    </row>
    <row r="2" spans="16:23" ht="12.75">
      <c r="P2" s="15" t="s">
        <v>206</v>
      </c>
      <c r="Q2" s="188">
        <v>230</v>
      </c>
      <c r="R2" s="234"/>
      <c r="V2" s="188">
        <v>220</v>
      </c>
      <c r="W2" s="234"/>
    </row>
    <row r="3" spans="16:23" ht="12.75">
      <c r="P3" s="15" t="s">
        <v>313</v>
      </c>
      <c r="Q3" s="188">
        <v>20</v>
      </c>
      <c r="R3" s="234"/>
      <c r="V3" s="188">
        <v>20</v>
      </c>
      <c r="W3" s="234"/>
    </row>
    <row r="4" spans="16:23" ht="12.75">
      <c r="P4" s="15" t="s">
        <v>310</v>
      </c>
      <c r="Q4" s="188">
        <v>1.5</v>
      </c>
      <c r="R4" s="234"/>
      <c r="V4" s="188">
        <v>1.5</v>
      </c>
      <c r="W4" s="234"/>
    </row>
    <row r="5" spans="16:23" ht="12.75">
      <c r="P5" s="15" t="s">
        <v>311</v>
      </c>
      <c r="Q5" s="188">
        <v>1.1</v>
      </c>
      <c r="R5" s="234"/>
      <c r="V5" s="188">
        <v>1</v>
      </c>
      <c r="W5" s="234"/>
    </row>
    <row r="7" spans="3:26" ht="12.75">
      <c r="C7" s="174"/>
      <c r="D7" s="244" t="s">
        <v>197</v>
      </c>
      <c r="E7" s="241"/>
      <c r="F7" s="241"/>
      <c r="G7" s="241"/>
      <c r="H7" s="241"/>
      <c r="I7" s="241"/>
      <c r="J7" s="242"/>
      <c r="K7" s="244" t="s">
        <v>198</v>
      </c>
      <c r="L7" s="241"/>
      <c r="M7" s="241"/>
      <c r="N7" s="241"/>
      <c r="O7" s="241"/>
      <c r="P7" s="241"/>
      <c r="Q7" s="251" t="s">
        <v>207</v>
      </c>
      <c r="R7" s="249"/>
      <c r="S7" s="249"/>
      <c r="T7" s="249"/>
      <c r="U7" s="250"/>
      <c r="V7" s="248" t="s">
        <v>208</v>
      </c>
      <c r="W7" s="249"/>
      <c r="X7" s="249"/>
      <c r="Y7" s="249"/>
      <c r="Z7" s="250"/>
    </row>
    <row r="8" spans="2:26" ht="25.5">
      <c r="B8" s="15" t="s">
        <v>194</v>
      </c>
      <c r="C8" s="175" t="s">
        <v>195</v>
      </c>
      <c r="D8" s="166" t="s">
        <v>161</v>
      </c>
      <c r="E8" s="167" t="s">
        <v>202</v>
      </c>
      <c r="F8" s="167" t="s">
        <v>12</v>
      </c>
      <c r="G8" s="183" t="s">
        <v>201</v>
      </c>
      <c r="H8" s="190" t="s">
        <v>13</v>
      </c>
      <c r="I8" s="182" t="s">
        <v>203</v>
      </c>
      <c r="J8" s="182" t="s">
        <v>2</v>
      </c>
      <c r="K8" s="166" t="s">
        <v>161</v>
      </c>
      <c r="L8" s="167" t="s">
        <v>202</v>
      </c>
      <c r="M8" s="183" t="s">
        <v>201</v>
      </c>
      <c r="N8" s="193" t="s">
        <v>13</v>
      </c>
      <c r="O8" s="182" t="s">
        <v>203</v>
      </c>
      <c r="P8" s="182" t="s">
        <v>200</v>
      </c>
      <c r="Q8" s="214" t="s">
        <v>204</v>
      </c>
      <c r="R8" s="185" t="s">
        <v>314</v>
      </c>
      <c r="S8" s="185" t="s">
        <v>205</v>
      </c>
      <c r="T8" s="231" t="s">
        <v>303</v>
      </c>
      <c r="U8" s="233" t="s">
        <v>315</v>
      </c>
      <c r="V8" s="184" t="s">
        <v>204</v>
      </c>
      <c r="W8" s="185" t="s">
        <v>314</v>
      </c>
      <c r="X8" s="185" t="s">
        <v>205</v>
      </c>
      <c r="Y8" s="230" t="s">
        <v>303</v>
      </c>
      <c r="Z8" s="233" t="s">
        <v>315</v>
      </c>
    </row>
    <row r="9" spans="1:26" ht="12.75">
      <c r="A9" t="s">
        <v>19</v>
      </c>
      <c r="B9" s="30">
        <v>200</v>
      </c>
      <c r="C9" s="176"/>
      <c r="D9" s="168"/>
      <c r="E9" s="169"/>
      <c r="F9" s="169"/>
      <c r="G9" s="169"/>
      <c r="H9" s="191"/>
      <c r="I9" s="172"/>
      <c r="J9" s="172"/>
      <c r="K9" s="168"/>
      <c r="L9" s="169"/>
      <c r="M9" s="169"/>
      <c r="N9" s="194"/>
      <c r="O9" s="172"/>
      <c r="P9" s="173"/>
      <c r="Q9" s="215"/>
      <c r="R9" s="171"/>
      <c r="S9" s="171"/>
      <c r="T9" s="192"/>
      <c r="V9" s="170"/>
      <c r="W9" s="171"/>
      <c r="X9" s="171"/>
      <c r="Y9" s="195"/>
      <c r="Z9" s="196"/>
    </row>
    <row r="10" spans="1:26" ht="12.75">
      <c r="A10" t="s">
        <v>21</v>
      </c>
      <c r="B10" s="30">
        <v>108.24</v>
      </c>
      <c r="C10" s="177">
        <f>B10-B9</f>
        <v>-91.76</v>
      </c>
      <c r="D10" s="168">
        <v>34.1</v>
      </c>
      <c r="E10" s="169">
        <v>53</v>
      </c>
      <c r="F10" s="169">
        <v>108</v>
      </c>
      <c r="G10" s="143">
        <f>D10/(E10/60)</f>
        <v>38.60377358490566</v>
      </c>
      <c r="H10" s="192">
        <f>F10*0.08</f>
        <v>8.64</v>
      </c>
      <c r="I10" s="180">
        <f>H10*1000/D10</f>
        <v>253.3724340175953</v>
      </c>
      <c r="J10" s="181">
        <f>F10/281*100</f>
        <v>38.43416370106761</v>
      </c>
      <c r="K10" s="168">
        <v>34.2</v>
      </c>
      <c r="L10" s="169">
        <v>55</v>
      </c>
      <c r="M10" s="143">
        <f>K10/(L10/60)</f>
        <v>37.30909090909091</v>
      </c>
      <c r="N10" s="240">
        <v>8.34</v>
      </c>
      <c r="O10" s="180">
        <f>N10*1000/K10</f>
        <v>243.85964912280699</v>
      </c>
      <c r="P10" s="181">
        <f>N10/H10*100</f>
        <v>96.52777777777777</v>
      </c>
      <c r="Q10" s="215">
        <f>$D10*Q$2/1000</f>
        <v>7.843</v>
      </c>
      <c r="R10" s="171">
        <f>$D10*Q$3/1000</f>
        <v>0.682</v>
      </c>
      <c r="S10" s="171">
        <f>$C10/1000*IF($C10&gt;0,Q$4,Q$5)</f>
        <v>-0.10093600000000001</v>
      </c>
      <c r="T10" s="192">
        <f>SUM(Q10:S10)</f>
        <v>8.424064</v>
      </c>
      <c r="U10" s="149">
        <f>(T10-H10)/H10*100</f>
        <v>-2.499259259259271</v>
      </c>
      <c r="V10" s="170">
        <f>$K10*V$2/1000</f>
        <v>7.524000000000001</v>
      </c>
      <c r="W10" s="171">
        <f>$D10*V$3/1000</f>
        <v>0.682</v>
      </c>
      <c r="X10" s="171">
        <f>$C10/1000*IF($C10&gt;0,V$4,V$5)</f>
        <v>-0.09176000000000001</v>
      </c>
      <c r="Y10" s="195">
        <f>SUM(V10:X10)</f>
        <v>8.11424</v>
      </c>
      <c r="Z10" s="149">
        <f>(Y10-N10)/N10*100</f>
        <v>-2.706954436450831</v>
      </c>
    </row>
    <row r="11" spans="1:26" ht="12.75">
      <c r="A11" t="s">
        <v>28</v>
      </c>
      <c r="B11" s="30">
        <v>928.24</v>
      </c>
      <c r="C11" s="177">
        <f>B11-B10</f>
        <v>820</v>
      </c>
      <c r="D11" s="168">
        <v>26.4</v>
      </c>
      <c r="E11" s="143">
        <v>41</v>
      </c>
      <c r="F11" s="143">
        <v>90</v>
      </c>
      <c r="G11" s="143">
        <f>D11/(E11/60)</f>
        <v>38.63414634146341</v>
      </c>
      <c r="H11" s="192">
        <f>F11*0.08</f>
        <v>7.2</v>
      </c>
      <c r="I11" s="180">
        <f>H11*1000/D11</f>
        <v>272.72727272727275</v>
      </c>
      <c r="J11" s="181">
        <f>F11/281*100</f>
        <v>32.028469750889684</v>
      </c>
      <c r="K11" s="168">
        <v>26.5</v>
      </c>
      <c r="L11" s="143">
        <v>41</v>
      </c>
      <c r="M11" s="143">
        <f>K11/(L11/60)</f>
        <v>38.78048780487805</v>
      </c>
      <c r="N11" s="195">
        <v>7.05</v>
      </c>
      <c r="O11" s="180">
        <f>N11*1000/K11</f>
        <v>266.0377358490566</v>
      </c>
      <c r="P11" s="181">
        <f>N11/H11*100</f>
        <v>97.91666666666666</v>
      </c>
      <c r="Q11" s="215">
        <f>$D11*Q$2/1000</f>
        <v>6.072</v>
      </c>
      <c r="R11" s="171"/>
      <c r="S11" s="171">
        <f>$C11/1000*IF($C11&gt;0,Q$4,Q$5)</f>
        <v>1.23</v>
      </c>
      <c r="T11" s="192">
        <f>SUM(Q11:S11)</f>
        <v>7.302</v>
      </c>
      <c r="U11" s="149">
        <f>(T11-H11)/H11*100</f>
        <v>1.4166666666666585</v>
      </c>
      <c r="V11" s="170">
        <f>$K11*V$2/1000</f>
        <v>5.83</v>
      </c>
      <c r="W11" s="171"/>
      <c r="X11" s="171">
        <f>$C11/1000*IF($C11&gt;0,V$4,V$5)</f>
        <v>1.23</v>
      </c>
      <c r="Y11" s="195">
        <f>SUM(V11:X11)</f>
        <v>7.0600000000000005</v>
      </c>
      <c r="Z11" s="149">
        <f>(Y11-N11)/N11*100</f>
        <v>0.14184397163121526</v>
      </c>
    </row>
    <row r="12" spans="1:26" ht="12.75">
      <c r="A12" t="s">
        <v>196</v>
      </c>
      <c r="B12" s="30">
        <v>4061</v>
      </c>
      <c r="C12" s="177">
        <f>B12-B11</f>
        <v>3132.76</v>
      </c>
      <c r="D12" s="168">
        <v>16.3</v>
      </c>
      <c r="E12" s="178">
        <f>ROUND(59*(D12/(D12+D13)),0)</f>
        <v>19</v>
      </c>
      <c r="F12" s="172">
        <v>103</v>
      </c>
      <c r="G12" s="143">
        <f>D12/(E12/60)</f>
        <v>51.47368421052632</v>
      </c>
      <c r="H12" s="192">
        <f>F12*0.08</f>
        <v>8.24</v>
      </c>
      <c r="I12" s="180">
        <f>H12*1000/D12</f>
        <v>505.52147239263803</v>
      </c>
      <c r="J12" s="181">
        <f>F12/281*100</f>
        <v>36.654804270462634</v>
      </c>
      <c r="K12" s="168">
        <v>16.3</v>
      </c>
      <c r="L12" s="178">
        <f>ROUND(59*(K12/(K12+K13)),0)</f>
        <v>19</v>
      </c>
      <c r="M12" s="143">
        <f>K12/(L12/60)</f>
        <v>51.47368421052632</v>
      </c>
      <c r="N12" s="195">
        <v>7.7</v>
      </c>
      <c r="O12" s="180">
        <f>N12*1000/K12</f>
        <v>472.3926380368098</v>
      </c>
      <c r="P12" s="181">
        <f>N12/H12*100</f>
        <v>93.44660194174757</v>
      </c>
      <c r="Q12" s="215">
        <f>$D12*Q$2/1000</f>
        <v>3.749</v>
      </c>
      <c r="R12" s="171"/>
      <c r="S12" s="171">
        <f>$C12/1000*IF($C12&gt;0,Q$4,Q$5)</f>
        <v>4.69914</v>
      </c>
      <c r="T12" s="192">
        <f>SUM(Q12:S12)</f>
        <v>8.44814</v>
      </c>
      <c r="U12" s="149">
        <f>(T12-H12)/H12*100</f>
        <v>2.5259708737864104</v>
      </c>
      <c r="V12" s="170">
        <f>$K12*V$2/1000</f>
        <v>3.586</v>
      </c>
      <c r="W12" s="171"/>
      <c r="X12" s="171">
        <f>$C12/1000*IF($C12&gt;0,V$4,V$5)</f>
        <v>4.69914</v>
      </c>
      <c r="Y12" s="195">
        <f>SUM(V12:X12)</f>
        <v>8.28514</v>
      </c>
      <c r="Z12" s="149">
        <f>(Y12-N12)/N12*100</f>
        <v>7.599220779220779</v>
      </c>
    </row>
    <row r="13" spans="1:26" ht="12.75">
      <c r="A13" t="s">
        <v>30</v>
      </c>
      <c r="B13" s="30">
        <v>1170.96</v>
      </c>
      <c r="C13" s="177">
        <f>B13-B12</f>
        <v>-2890.04</v>
      </c>
      <c r="D13" s="168">
        <f>50.9-D12</f>
        <v>34.599999999999994</v>
      </c>
      <c r="E13" s="179">
        <f>59-E12</f>
        <v>40</v>
      </c>
      <c r="F13" s="180">
        <f>160-F12</f>
        <v>57</v>
      </c>
      <c r="G13" s="143">
        <f>D13/(E13/60)</f>
        <v>51.89999999999999</v>
      </c>
      <c r="H13" s="192">
        <f>F13*0.08</f>
        <v>4.5600000000000005</v>
      </c>
      <c r="I13" s="180">
        <f>H13*1000/D13</f>
        <v>131.7919075144509</v>
      </c>
      <c r="J13" s="181">
        <f>F13/281*100</f>
        <v>20.284697508896798</v>
      </c>
      <c r="K13" s="168">
        <f>51.2-K12</f>
        <v>34.900000000000006</v>
      </c>
      <c r="L13" s="179">
        <f>59-L12</f>
        <v>40</v>
      </c>
      <c r="M13" s="143">
        <f>K13/(L13/60)</f>
        <v>52.35000000000001</v>
      </c>
      <c r="N13" s="195">
        <f>12.14-N12</f>
        <v>4.44</v>
      </c>
      <c r="O13" s="180">
        <f>N13*1000/K13</f>
        <v>127.22063037249282</v>
      </c>
      <c r="P13" s="181">
        <f>N13/H13*100</f>
        <v>97.36842105263158</v>
      </c>
      <c r="Q13" s="215">
        <f>$D13*Q$2/1000</f>
        <v>7.957999999999999</v>
      </c>
      <c r="R13" s="171"/>
      <c r="S13" s="171">
        <f>$C13/1000*IF($C13&gt;0,Q$4,Q$5)</f>
        <v>-3.179044</v>
      </c>
      <c r="T13" s="192">
        <f>SUM(Q13:S13)</f>
        <v>4.778955999999999</v>
      </c>
      <c r="U13" s="149">
        <f>(T13-H13)/H13*100</f>
        <v>4.801666666666636</v>
      </c>
      <c r="V13" s="170">
        <f>$K13*V$2/1000</f>
        <v>7.678000000000001</v>
      </c>
      <c r="W13" s="171"/>
      <c r="X13" s="171">
        <f>$C13/1000*IF($C13&gt;0,V$4,V$5)</f>
        <v>-2.89004</v>
      </c>
      <c r="Y13" s="195">
        <f>SUM(V13:X13)</f>
        <v>4.787960000000001</v>
      </c>
      <c r="Z13" s="149">
        <f>(Y13-N13)/N13*100</f>
        <v>7.836936936936947</v>
      </c>
    </row>
    <row r="14" spans="1:26" ht="12.75">
      <c r="A14" t="s">
        <v>193</v>
      </c>
      <c r="B14" s="30">
        <v>649.44</v>
      </c>
      <c r="C14" s="177">
        <f>B14-B13</f>
        <v>-521.52</v>
      </c>
      <c r="D14" s="168">
        <v>20.5</v>
      </c>
      <c r="E14" s="143">
        <v>32</v>
      </c>
      <c r="F14" s="143">
        <v>31</v>
      </c>
      <c r="G14" s="143">
        <f>D14/(E14/60)</f>
        <v>38.4375</v>
      </c>
      <c r="H14" s="192">
        <f>F14*0.08</f>
        <v>2.48</v>
      </c>
      <c r="I14" s="180">
        <f>H14*1000/D14</f>
        <v>120.97560975609755</v>
      </c>
      <c r="J14" s="181">
        <f>F14/281*100</f>
        <v>11.032028469750891</v>
      </c>
      <c r="K14" s="168">
        <v>20.6</v>
      </c>
      <c r="L14" s="143">
        <v>32</v>
      </c>
      <c r="M14" s="143">
        <f>K14/(L14/60)</f>
        <v>38.625</v>
      </c>
      <c r="N14" s="195">
        <v>4.09</v>
      </c>
      <c r="O14" s="180">
        <f>N14*1000/K14</f>
        <v>198.54368932038832</v>
      </c>
      <c r="P14" s="181">
        <f>N14/H14*100</f>
        <v>164.91935483870967</v>
      </c>
      <c r="Q14" s="215">
        <f>$D14*Q$2/1000</f>
        <v>4.715</v>
      </c>
      <c r="R14" s="171"/>
      <c r="S14" s="171">
        <f>$C14/1000*IF($C14&gt;0,Q$4,Q$5)</f>
        <v>-0.5736720000000001</v>
      </c>
      <c r="T14" s="192">
        <f>SUM(Q14:S14)</f>
        <v>4.141328</v>
      </c>
      <c r="U14" s="149">
        <f>(T14-H14)/H14*100</f>
        <v>66.98903225806451</v>
      </c>
      <c r="V14" s="170">
        <f>$K14*V$2/1000</f>
        <v>4.532</v>
      </c>
      <c r="W14" s="171"/>
      <c r="X14" s="171">
        <f>$C14/1000*IF($C14&gt;0,V$4,V$5)</f>
        <v>-0.52152</v>
      </c>
      <c r="Y14" s="195">
        <f>SUM(V14:X14)</f>
        <v>4.01048</v>
      </c>
      <c r="Z14" s="149">
        <f>(Y14-N14)/N14*100</f>
        <v>-1.9442542787285966</v>
      </c>
    </row>
    <row r="15" spans="20:26" ht="12.75">
      <c r="T15" s="171"/>
      <c r="U15" s="29"/>
      <c r="Z15" s="29"/>
    </row>
    <row r="16" spans="20:26" ht="12.75">
      <c r="T16" s="171"/>
      <c r="U16" s="29"/>
      <c r="Z16" s="29"/>
    </row>
    <row r="17" spans="3:26" ht="12.75">
      <c r="C17" s="174"/>
      <c r="D17" s="244" t="s">
        <v>197</v>
      </c>
      <c r="E17" s="241"/>
      <c r="F17" s="241"/>
      <c r="G17" s="241"/>
      <c r="H17" s="241"/>
      <c r="I17" s="241"/>
      <c r="J17" s="242"/>
      <c r="K17" s="244" t="s">
        <v>198</v>
      </c>
      <c r="L17" s="241"/>
      <c r="M17" s="241"/>
      <c r="N17" s="241"/>
      <c r="O17" s="241"/>
      <c r="P17" s="241"/>
      <c r="Q17" s="251" t="s">
        <v>207</v>
      </c>
      <c r="R17" s="249"/>
      <c r="S17" s="249"/>
      <c r="T17" s="249"/>
      <c r="U17" s="250"/>
      <c r="V17" s="248" t="s">
        <v>208</v>
      </c>
      <c r="W17" s="249"/>
      <c r="X17" s="249"/>
      <c r="Y17" s="249"/>
      <c r="Z17" s="250"/>
    </row>
    <row r="18" spans="2:26" ht="25.5">
      <c r="B18" s="15" t="s">
        <v>194</v>
      </c>
      <c r="C18" s="175" t="s">
        <v>195</v>
      </c>
      <c r="D18" s="166" t="s">
        <v>161</v>
      </c>
      <c r="E18" s="167" t="s">
        <v>202</v>
      </c>
      <c r="F18" s="167" t="s">
        <v>12</v>
      </c>
      <c r="G18" s="183" t="s">
        <v>201</v>
      </c>
      <c r="H18" s="190" t="s">
        <v>13</v>
      </c>
      <c r="I18" s="182" t="s">
        <v>203</v>
      </c>
      <c r="J18" s="182" t="s">
        <v>2</v>
      </c>
      <c r="K18" s="166" t="s">
        <v>161</v>
      </c>
      <c r="L18" s="167" t="s">
        <v>202</v>
      </c>
      <c r="M18" s="183" t="s">
        <v>201</v>
      </c>
      <c r="N18" s="193" t="s">
        <v>13</v>
      </c>
      <c r="O18" s="182" t="s">
        <v>203</v>
      </c>
      <c r="P18" s="182" t="s">
        <v>200</v>
      </c>
      <c r="Q18" s="214" t="s">
        <v>204</v>
      </c>
      <c r="R18" s="185" t="s">
        <v>314</v>
      </c>
      <c r="S18" s="185" t="s">
        <v>205</v>
      </c>
      <c r="T18" s="231" t="s">
        <v>303</v>
      </c>
      <c r="U18" s="233" t="s">
        <v>315</v>
      </c>
      <c r="V18" s="185" t="s">
        <v>204</v>
      </c>
      <c r="W18" s="185" t="s">
        <v>314</v>
      </c>
      <c r="X18" s="185" t="s">
        <v>205</v>
      </c>
      <c r="Y18" s="230" t="s">
        <v>303</v>
      </c>
      <c r="Z18" s="233" t="s">
        <v>315</v>
      </c>
    </row>
    <row r="19" spans="1:26" ht="12.75">
      <c r="A19" t="s">
        <v>193</v>
      </c>
      <c r="B19">
        <v>649</v>
      </c>
      <c r="C19" s="176"/>
      <c r="J19" s="196"/>
      <c r="Q19" s="216"/>
      <c r="R19" s="169"/>
      <c r="S19" s="169"/>
      <c r="T19" s="169"/>
      <c r="U19" s="232"/>
      <c r="V19"/>
      <c r="W19"/>
      <c r="X19"/>
      <c r="Y19" s="169"/>
      <c r="Z19" s="232"/>
    </row>
    <row r="20" spans="1:26" ht="12.75">
      <c r="A20" t="s">
        <v>30</v>
      </c>
      <c r="B20">
        <v>1171</v>
      </c>
      <c r="C20" s="176">
        <f>B20-B19</f>
        <v>522</v>
      </c>
      <c r="D20" s="168">
        <v>22.2</v>
      </c>
      <c r="E20" s="143">
        <v>37</v>
      </c>
      <c r="F20" s="143">
        <v>73</v>
      </c>
      <c r="G20" s="143">
        <f>D20/(E20/60)</f>
        <v>36</v>
      </c>
      <c r="H20" s="192">
        <f>F20*0.08</f>
        <v>5.84</v>
      </c>
      <c r="I20" s="180">
        <f>H20*1000/D20</f>
        <v>263.06306306306305</v>
      </c>
      <c r="J20" s="181">
        <f>F20/281*100</f>
        <v>25.97864768683274</v>
      </c>
      <c r="K20" s="168">
        <v>22.4</v>
      </c>
      <c r="L20" s="143">
        <v>38</v>
      </c>
      <c r="M20" s="143">
        <f>K20/(L20/60)</f>
        <v>35.368421052631575</v>
      </c>
      <c r="N20" s="195">
        <v>5.93</v>
      </c>
      <c r="O20" s="180">
        <f>N20*1000/K20</f>
        <v>264.7321428571429</v>
      </c>
      <c r="P20" s="181">
        <f>N20/H20*100</f>
        <v>101.54109589041096</v>
      </c>
      <c r="Q20" s="215">
        <f>$D20*Q$2/1000</f>
        <v>5.106</v>
      </c>
      <c r="R20" s="171"/>
      <c r="S20" s="171">
        <f>$C20/1000*IF($C20&gt;0,Q$4,Q$5)</f>
        <v>0.783</v>
      </c>
      <c r="T20" s="192">
        <f>SUM(Q20:S20)</f>
        <v>5.889</v>
      </c>
      <c r="U20" s="149">
        <f>(T20-H20)/H20*100</f>
        <v>0.8390410958904174</v>
      </c>
      <c r="V20" s="171">
        <f>$K20*V$2/1000</f>
        <v>4.928</v>
      </c>
      <c r="W20" s="171"/>
      <c r="X20" s="171">
        <f>$C20/1000*IF($C20&gt;0,V$4,V$5)</f>
        <v>0.783</v>
      </c>
      <c r="Y20" s="195">
        <f>SUM(V20:X20)</f>
        <v>5.711</v>
      </c>
      <c r="Z20" s="149">
        <f>(Y20-N20)/N20*100</f>
        <v>-3.693086003372672</v>
      </c>
    </row>
    <row r="21" spans="1:26" ht="12.75">
      <c r="A21" t="s">
        <v>196</v>
      </c>
      <c r="B21">
        <v>4061</v>
      </c>
      <c r="C21" s="176">
        <f>B21-B20</f>
        <v>2890</v>
      </c>
      <c r="D21" s="168">
        <v>35</v>
      </c>
      <c r="E21" s="178">
        <f>ROUND(60*(D21/(D21+D22)),0)</f>
        <v>41</v>
      </c>
      <c r="F21" s="172">
        <v>164</v>
      </c>
      <c r="G21" s="143">
        <f>D21/(E21/60)</f>
        <v>51.21951219512195</v>
      </c>
      <c r="H21" s="192">
        <f>F21*0.08</f>
        <v>13.120000000000001</v>
      </c>
      <c r="I21" s="180">
        <f>H21*1000/D21</f>
        <v>374.8571428571429</v>
      </c>
      <c r="J21" s="181">
        <f>F21/281*100</f>
        <v>58.362989323843415</v>
      </c>
      <c r="K21" s="168">
        <f>191.8-156.8</f>
        <v>35</v>
      </c>
      <c r="L21" s="178">
        <f>ROUND(61*(K21/(K21+K22)),0)</f>
        <v>42</v>
      </c>
      <c r="M21" s="143">
        <f>K21/(L21/60)</f>
        <v>50</v>
      </c>
      <c r="N21" s="195">
        <v>12.4</v>
      </c>
      <c r="O21" s="180">
        <f>N21*1000/K21</f>
        <v>354.2857142857143</v>
      </c>
      <c r="P21" s="181">
        <f>N21/H21*100</f>
        <v>94.51219512195121</v>
      </c>
      <c r="Q21" s="215">
        <f>$D21*Q$2/1000</f>
        <v>8.05</v>
      </c>
      <c r="R21" s="171">
        <f>$D21*Q$3/1000</f>
        <v>0.7</v>
      </c>
      <c r="S21" s="171">
        <f>$C21/1000*IF($C21&gt;0,Q$4,Q$5)</f>
        <v>4.335</v>
      </c>
      <c r="T21" s="192">
        <f>SUM(Q21:S21)</f>
        <v>13.085</v>
      </c>
      <c r="U21" s="149">
        <f>(T21-H21)/H21*100</f>
        <v>-0.2667682926829279</v>
      </c>
      <c r="V21" s="171">
        <f>$K21*V$2/1000</f>
        <v>7.7</v>
      </c>
      <c r="W21" s="171">
        <f>$D21*V$3/1000</f>
        <v>0.7</v>
      </c>
      <c r="X21" s="171">
        <f>$C21/1000*IF($C21&gt;0,V$4,V$5)</f>
        <v>4.335</v>
      </c>
      <c r="Y21" s="195">
        <f>SUM(V21:X21)</f>
        <v>12.735</v>
      </c>
      <c r="Z21" s="149">
        <f>(Y21-N21)/N21*100</f>
        <v>2.701612903225799</v>
      </c>
    </row>
    <row r="22" spans="1:26" ht="12.75">
      <c r="A22" t="s">
        <v>28</v>
      </c>
      <c r="B22">
        <v>928</v>
      </c>
      <c r="C22" s="176">
        <f>B22-B21</f>
        <v>-3133</v>
      </c>
      <c r="D22" s="168">
        <f>50.9-D21</f>
        <v>15.899999999999999</v>
      </c>
      <c r="E22" s="179">
        <f>60-E21</f>
        <v>19</v>
      </c>
      <c r="F22" s="180">
        <f>170-F21</f>
        <v>6</v>
      </c>
      <c r="G22" s="143">
        <f>D22/(E22/60)</f>
        <v>50.21052631578947</v>
      </c>
      <c r="H22" s="192">
        <f>F22*0.08</f>
        <v>0.48</v>
      </c>
      <c r="I22" s="180">
        <f>H22*1000/D22</f>
        <v>30.188679245283023</v>
      </c>
      <c r="J22" s="181">
        <f>F22/281*100</f>
        <v>2.135231316725979</v>
      </c>
      <c r="K22" s="168">
        <f>207.8-156.8-K21</f>
        <v>16</v>
      </c>
      <c r="L22" s="180">
        <f>61-L21</f>
        <v>19</v>
      </c>
      <c r="M22" s="143">
        <f>K22/(L22/60)</f>
        <v>50.526315789473685</v>
      </c>
      <c r="N22" s="195">
        <f>12.96-N21</f>
        <v>0.5600000000000005</v>
      </c>
      <c r="O22" s="180">
        <f>N22*1000/K22</f>
        <v>35.00000000000003</v>
      </c>
      <c r="P22" s="181">
        <f>N22/H22*100</f>
        <v>116.66666666666679</v>
      </c>
      <c r="Q22" s="215">
        <f>$D22*Q$2/1000</f>
        <v>3.6569999999999996</v>
      </c>
      <c r="R22" s="171">
        <f>$D22*Q$3/1000</f>
        <v>0.318</v>
      </c>
      <c r="S22" s="171">
        <f>$C22/1000*IF($C22&gt;0,Q$4,Q$5)</f>
        <v>-3.4463000000000004</v>
      </c>
      <c r="T22" s="192">
        <f>SUM(Q22:S22)</f>
        <v>0.5286999999999993</v>
      </c>
      <c r="U22" s="149">
        <f>(T22-H22)/H22*100</f>
        <v>10.145833333333186</v>
      </c>
      <c r="V22" s="171">
        <f>$K22*V$2/1000</f>
        <v>3.52</v>
      </c>
      <c r="W22" s="171">
        <f>$D22*V$3/1000</f>
        <v>0.318</v>
      </c>
      <c r="X22" s="171">
        <f>$C22/1000*IF($C22&gt;0,V$4,V$5)</f>
        <v>-3.133</v>
      </c>
      <c r="Y22" s="195">
        <f>SUM(V22:X22)</f>
        <v>0.7050000000000001</v>
      </c>
      <c r="Z22" s="149">
        <f>(Y22-N22)/N22*100</f>
        <v>25.892857142857046</v>
      </c>
    </row>
    <row r="23" spans="1:26" ht="12.75">
      <c r="A23" t="s">
        <v>21</v>
      </c>
      <c r="B23">
        <v>108</v>
      </c>
      <c r="C23" s="176">
        <f>B23-B22</f>
        <v>-820</v>
      </c>
      <c r="D23" s="168">
        <v>26.2</v>
      </c>
      <c r="E23" s="143"/>
      <c r="F23" s="143">
        <v>67</v>
      </c>
      <c r="G23" s="143"/>
      <c r="H23" s="192">
        <f>F23*0.08</f>
        <v>5.36</v>
      </c>
      <c r="I23" s="180">
        <f>H23*1000/D23</f>
        <v>204.58015267175574</v>
      </c>
      <c r="J23" s="181">
        <f>F23/281*100</f>
        <v>23.843416370106763</v>
      </c>
      <c r="K23" s="168"/>
      <c r="L23" s="143"/>
      <c r="M23" s="143"/>
      <c r="N23" s="195"/>
      <c r="O23" s="180"/>
      <c r="P23" s="181"/>
      <c r="Q23" s="215">
        <f>$D23*Q$2/1000</f>
        <v>6.026</v>
      </c>
      <c r="R23" s="171">
        <f>$D23*Q$3/1000</f>
        <v>0.524</v>
      </c>
      <c r="S23" s="171">
        <f>$C23/1000*IF($C23&gt;0,Q$4,Q$5)</f>
        <v>-0.902</v>
      </c>
      <c r="T23" s="192">
        <f>SUM(Q23:S23)</f>
        <v>5.648</v>
      </c>
      <c r="U23" s="149">
        <f>(T23-H23)/H23*100</f>
        <v>5.373134328358197</v>
      </c>
      <c r="V23" s="171"/>
      <c r="W23" s="171"/>
      <c r="X23" s="171"/>
      <c r="Y23" s="195"/>
      <c r="Z23" s="149"/>
    </row>
    <row r="24" spans="20:26" ht="12.75">
      <c r="T24" s="171"/>
      <c r="U24" s="29"/>
      <c r="Z24" s="29"/>
    </row>
    <row r="25" spans="1:26" ht="12.75">
      <c r="A25" t="s">
        <v>28</v>
      </c>
      <c r="B25" s="196">
        <v>928</v>
      </c>
      <c r="E25" s="115"/>
      <c r="F25" s="115"/>
      <c r="G25" s="115"/>
      <c r="H25" s="115"/>
      <c r="I25" s="115"/>
      <c r="J25" s="115"/>
      <c r="L25" s="115"/>
      <c r="M25" s="115"/>
      <c r="N25" s="115"/>
      <c r="O25" s="115"/>
      <c r="P25" s="115"/>
      <c r="T25" s="171"/>
      <c r="U25" s="29"/>
      <c r="Z25" s="29"/>
    </row>
    <row r="26" spans="1:26" ht="12.75">
      <c r="A26" t="s">
        <v>19</v>
      </c>
      <c r="B26">
        <v>200</v>
      </c>
      <c r="C26" s="176">
        <f>B26-B25</f>
        <v>-728</v>
      </c>
      <c r="D26" s="168">
        <v>58.9</v>
      </c>
      <c r="E26" s="143">
        <v>88</v>
      </c>
      <c r="F26" s="143">
        <f>232-71</f>
        <v>161</v>
      </c>
      <c r="G26" s="143">
        <f>D26/(E26/60)</f>
        <v>40.159090909090914</v>
      </c>
      <c r="H26" s="192">
        <f>F26*0.08</f>
        <v>12.88</v>
      </c>
      <c r="I26" s="180">
        <f>H26*1000/D26</f>
        <v>218.67572156196945</v>
      </c>
      <c r="J26" s="181">
        <f>F26/281*100</f>
        <v>57.29537366548043</v>
      </c>
      <c r="K26" s="168">
        <v>59.2</v>
      </c>
      <c r="L26">
        <v>95</v>
      </c>
      <c r="M26" s="143">
        <f>K26/(L26/60)</f>
        <v>37.38947368421053</v>
      </c>
      <c r="N26" s="195">
        <v>13.04</v>
      </c>
      <c r="O26" s="180">
        <f>N26*1000/K26</f>
        <v>220.27027027027026</v>
      </c>
      <c r="P26" s="181">
        <f>N26/H26*100</f>
        <v>101.2422360248447</v>
      </c>
      <c r="Q26" s="215">
        <f>$D26*Q$2/1000</f>
        <v>13.547</v>
      </c>
      <c r="R26" s="171">
        <f>$D26*Q$3/1000</f>
        <v>1.178</v>
      </c>
      <c r="S26" s="171">
        <f>$C26/1000*IF($C26&gt;0,Q$4,Q$5)</f>
        <v>-0.8008000000000001</v>
      </c>
      <c r="T26" s="192">
        <f>SUM(Q26:S26)</f>
        <v>13.9242</v>
      </c>
      <c r="U26" s="149">
        <f>(T26-H26)/H26*100</f>
        <v>8.107142857142858</v>
      </c>
      <c r="V26" s="170">
        <f>$K26*V$2/1000</f>
        <v>13.024</v>
      </c>
      <c r="W26" s="171">
        <f>$D26*V$3/1000</f>
        <v>1.178</v>
      </c>
      <c r="X26" s="171">
        <f>$C26/1000*IF($C26&gt;0,V$4,V$5)</f>
        <v>-0.728</v>
      </c>
      <c r="Y26" s="195">
        <f>SUM(V26:X26)</f>
        <v>13.473999999999998</v>
      </c>
      <c r="Z26" s="149">
        <f>(Y26-N26)/N26*100</f>
        <v>3.3282208588957003</v>
      </c>
    </row>
    <row r="27" ht="12.75">
      <c r="T27" s="171"/>
    </row>
  </sheetData>
  <mergeCells count="8">
    <mergeCell ref="D17:J17"/>
    <mergeCell ref="K17:P17"/>
    <mergeCell ref="D7:J7"/>
    <mergeCell ref="K7:P7"/>
    <mergeCell ref="V7:Z7"/>
    <mergeCell ref="V17:Z17"/>
    <mergeCell ref="Q17:U17"/>
    <mergeCell ref="Q7:U7"/>
  </mergeCells>
  <printOptions/>
  <pageMargins left="0.5" right="0.5" top="1" bottom="1" header="0.5" footer="0.5"/>
  <pageSetup fitToHeight="1" fitToWidth="1" horizontalDpi="1200" verticalDpi="1200" orientation="landscape" scale="98" r:id="rId1"/>
</worksheet>
</file>

<file path=xl/worksheets/sheet5.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12.7109375" style="0" customWidth="1"/>
    <col min="3" max="3" width="9.140625" style="30" customWidth="1"/>
  </cols>
  <sheetData>
    <row r="1" spans="2:3" ht="12.75">
      <c r="B1" s="15" t="s">
        <v>190</v>
      </c>
      <c r="C1" s="165" t="s">
        <v>191</v>
      </c>
    </row>
    <row r="2" spans="1:3" ht="12.75">
      <c r="A2" t="s">
        <v>21</v>
      </c>
      <c r="B2">
        <v>33</v>
      </c>
      <c r="C2" s="30">
        <f>B2*3.28</f>
        <v>108.24</v>
      </c>
    </row>
    <row r="3" spans="1:3" ht="12.75">
      <c r="A3" t="s">
        <v>28</v>
      </c>
      <c r="B3">
        <v>283</v>
      </c>
      <c r="C3" s="30">
        <f>B3*3.28</f>
        <v>928.2399999999999</v>
      </c>
    </row>
    <row r="4" spans="1:4" ht="12.75">
      <c r="A4" t="s">
        <v>192</v>
      </c>
      <c r="B4">
        <v>1230</v>
      </c>
      <c r="C4" s="30">
        <f>B4*3.28</f>
        <v>4034.3999999999996</v>
      </c>
      <c r="D4" t="s">
        <v>316</v>
      </c>
    </row>
    <row r="5" spans="1:3" ht="12.75">
      <c r="A5" t="s">
        <v>30</v>
      </c>
      <c r="B5">
        <v>357</v>
      </c>
      <c r="C5" s="30">
        <f>B5*3.28</f>
        <v>1170.96</v>
      </c>
    </row>
    <row r="6" spans="1:3" ht="12.75">
      <c r="A6" t="s">
        <v>193</v>
      </c>
      <c r="B6">
        <v>198</v>
      </c>
      <c r="C6" s="30">
        <f>B6*3.28</f>
        <v>649.4399999999999</v>
      </c>
    </row>
    <row r="9" ht="12.75">
      <c r="A9" t="s">
        <v>211</v>
      </c>
    </row>
    <row r="10" ht="12.75">
      <c r="A10" t="s">
        <v>210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sheetData>
    <row r="1" spans="1:3" ht="12.75">
      <c r="A1" s="15" t="s">
        <v>164</v>
      </c>
      <c r="B1" s="15" t="s">
        <v>165</v>
      </c>
      <c r="C1" s="15" t="s">
        <v>166</v>
      </c>
    </row>
    <row r="2" spans="1:3" ht="12.75">
      <c r="A2">
        <v>0</v>
      </c>
      <c r="B2">
        <v>0</v>
      </c>
      <c r="C2" s="128">
        <v>40</v>
      </c>
    </row>
    <row r="3" spans="1:3" ht="12.75">
      <c r="A3">
        <v>1</v>
      </c>
      <c r="B3">
        <f aca="true" t="shared" si="0" ref="B3:B13">C2+1</f>
        <v>41</v>
      </c>
      <c r="C3" s="66">
        <v>58</v>
      </c>
    </row>
    <row r="4" spans="1:3" ht="12.75">
      <c r="A4">
        <v>2</v>
      </c>
      <c r="B4">
        <f t="shared" si="0"/>
        <v>59</v>
      </c>
      <c r="C4">
        <v>83</v>
      </c>
    </row>
    <row r="5" spans="1:3" ht="12.75">
      <c r="A5">
        <v>3</v>
      </c>
      <c r="B5">
        <f t="shared" si="0"/>
        <v>84</v>
      </c>
      <c r="C5">
        <v>103</v>
      </c>
    </row>
    <row r="6" spans="1:3" ht="12.75">
      <c r="A6">
        <v>4</v>
      </c>
      <c r="B6">
        <f t="shared" si="0"/>
        <v>104</v>
      </c>
      <c r="C6" s="128">
        <v>122</v>
      </c>
    </row>
    <row r="7" spans="1:3" ht="12.75">
      <c r="A7">
        <v>5</v>
      </c>
      <c r="B7">
        <f t="shared" si="0"/>
        <v>123</v>
      </c>
      <c r="C7">
        <v>142</v>
      </c>
    </row>
    <row r="8" spans="1:3" ht="12.75">
      <c r="A8">
        <v>6</v>
      </c>
      <c r="B8">
        <f t="shared" si="0"/>
        <v>143</v>
      </c>
      <c r="C8">
        <v>163</v>
      </c>
    </row>
    <row r="9" spans="1:3" ht="12.75">
      <c r="A9">
        <v>7</v>
      </c>
      <c r="B9">
        <f t="shared" si="0"/>
        <v>164</v>
      </c>
      <c r="C9">
        <v>182</v>
      </c>
    </row>
    <row r="10" spans="1:3" ht="12.75">
      <c r="A10">
        <v>8</v>
      </c>
      <c r="B10">
        <f t="shared" si="0"/>
        <v>183</v>
      </c>
      <c r="C10">
        <v>199</v>
      </c>
    </row>
    <row r="11" spans="1:3" ht="12.75">
      <c r="A11">
        <v>9</v>
      </c>
      <c r="B11">
        <f t="shared" si="0"/>
        <v>200</v>
      </c>
      <c r="C11">
        <v>220</v>
      </c>
    </row>
    <row r="12" spans="1:3" ht="12.75">
      <c r="A12">
        <v>10</v>
      </c>
      <c r="B12">
        <f t="shared" si="0"/>
        <v>221</v>
      </c>
      <c r="C12">
        <v>236</v>
      </c>
    </row>
    <row r="13" spans="1:3" ht="12.75">
      <c r="A13">
        <v>11</v>
      </c>
      <c r="B13">
        <f t="shared" si="0"/>
        <v>237</v>
      </c>
      <c r="C13">
        <v>257</v>
      </c>
    </row>
    <row r="14" spans="1:3" ht="12.75">
      <c r="A14">
        <v>12</v>
      </c>
      <c r="B14">
        <f>C13+1</f>
        <v>258</v>
      </c>
      <c r="C14">
        <v>279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38"/>
  <sheetViews>
    <sheetView workbookViewId="0" topLeftCell="A1">
      <selection activeCell="A1" sqref="A1"/>
    </sheetView>
  </sheetViews>
  <sheetFormatPr defaultColWidth="9.140625" defaultRowHeight="12.75"/>
  <cols>
    <col min="1" max="1" width="4.7109375" style="0" customWidth="1"/>
    <col min="2" max="2" width="10.7109375" style="0" customWidth="1"/>
    <col min="3" max="4" width="6.7109375" style="0" customWidth="1"/>
    <col min="5" max="13" width="5.7109375" style="0" customWidth="1"/>
    <col min="14" max="14" width="14.7109375" style="0" customWidth="1"/>
  </cols>
  <sheetData>
    <row r="1" spans="1:14" ht="12.75">
      <c r="A1" s="1" t="s">
        <v>99</v>
      </c>
      <c r="B1" s="2"/>
      <c r="C1" s="3"/>
      <c r="D1" s="4" t="s">
        <v>0</v>
      </c>
      <c r="E1" s="5" t="s">
        <v>1</v>
      </c>
      <c r="F1" s="5" t="s">
        <v>2</v>
      </c>
      <c r="G1" s="5"/>
      <c r="H1" s="3"/>
      <c r="I1" s="257" t="s">
        <v>3</v>
      </c>
      <c r="J1" s="258"/>
      <c r="K1" s="3" t="s">
        <v>4</v>
      </c>
      <c r="L1" s="256" t="s">
        <v>5</v>
      </c>
      <c r="M1" s="256"/>
      <c r="N1" s="6" t="s">
        <v>6</v>
      </c>
    </row>
    <row r="2" spans="1:14" ht="13.5" thickBot="1">
      <c r="A2" s="7"/>
      <c r="B2" s="8" t="s">
        <v>7</v>
      </c>
      <c r="C2" s="9" t="s">
        <v>8</v>
      </c>
      <c r="D2" s="10" t="s">
        <v>9</v>
      </c>
      <c r="E2" s="10" t="s">
        <v>10</v>
      </c>
      <c r="F2" s="10" t="s">
        <v>10</v>
      </c>
      <c r="G2" s="10" t="s">
        <v>11</v>
      </c>
      <c r="H2" s="9" t="s">
        <v>12</v>
      </c>
      <c r="I2" s="11" t="s">
        <v>2</v>
      </c>
      <c r="J2" s="11" t="s">
        <v>13</v>
      </c>
      <c r="K2" s="12" t="s">
        <v>14</v>
      </c>
      <c r="L2" s="10" t="s">
        <v>15</v>
      </c>
      <c r="M2" s="10" t="s">
        <v>16</v>
      </c>
      <c r="N2" s="13" t="s">
        <v>17</v>
      </c>
    </row>
    <row r="3" spans="1:14" ht="19.5" customHeight="1" thickBot="1" thickTop="1">
      <c r="A3" s="16"/>
      <c r="B3" s="17" t="s">
        <v>19</v>
      </c>
      <c r="C3" s="64">
        <v>0.19444444444444445</v>
      </c>
      <c r="D3" s="19">
        <v>65</v>
      </c>
      <c r="E3" s="19">
        <v>5</v>
      </c>
      <c r="F3" s="19">
        <v>12</v>
      </c>
      <c r="G3" s="19">
        <v>100</v>
      </c>
      <c r="H3" s="19"/>
      <c r="I3" s="20"/>
      <c r="J3" s="20"/>
      <c r="K3" s="21">
        <v>0</v>
      </c>
      <c r="L3" s="22" t="s">
        <v>20</v>
      </c>
      <c r="M3" s="22" t="s">
        <v>20</v>
      </c>
      <c r="N3" s="23"/>
    </row>
    <row r="4" spans="1:14" ht="19.5" customHeight="1" thickTop="1">
      <c r="A4" s="255" t="s">
        <v>21</v>
      </c>
      <c r="B4" s="24" t="s">
        <v>22</v>
      </c>
      <c r="C4" s="55">
        <v>0.23611111111111113</v>
      </c>
      <c r="D4" s="26">
        <v>57</v>
      </c>
      <c r="E4" s="26">
        <v>5</v>
      </c>
      <c r="F4" s="26">
        <v>6</v>
      </c>
      <c r="G4" s="26">
        <v>50</v>
      </c>
      <c r="H4" s="26"/>
      <c r="I4" s="27"/>
      <c r="J4" s="27"/>
      <c r="K4" s="26">
        <v>42.8</v>
      </c>
      <c r="L4" s="26">
        <v>4.3</v>
      </c>
      <c r="M4" s="26">
        <v>4.4</v>
      </c>
      <c r="N4" s="28"/>
    </row>
    <row r="5" spans="1:14" ht="19.5" customHeight="1">
      <c r="A5" s="253"/>
      <c r="B5" s="31" t="s">
        <v>24</v>
      </c>
      <c r="C5" s="61">
        <v>0.23680555555555557</v>
      </c>
      <c r="D5" s="33">
        <v>57</v>
      </c>
      <c r="E5" s="33">
        <v>5</v>
      </c>
      <c r="F5" s="33">
        <v>6</v>
      </c>
      <c r="G5" s="33">
        <v>50</v>
      </c>
      <c r="H5" s="33"/>
      <c r="I5" s="33"/>
      <c r="J5" s="34"/>
      <c r="K5" s="34"/>
      <c r="L5" s="34"/>
      <c r="M5" s="34"/>
      <c r="N5" s="35"/>
    </row>
    <row r="6" spans="1:14" ht="19.5" customHeight="1">
      <c r="A6" s="253"/>
      <c r="B6" s="31" t="s">
        <v>26</v>
      </c>
      <c r="C6" s="61">
        <v>0.2625</v>
      </c>
      <c r="D6" s="33">
        <v>57</v>
      </c>
      <c r="E6" s="33">
        <v>6</v>
      </c>
      <c r="F6" s="33">
        <v>11</v>
      </c>
      <c r="G6" s="33">
        <v>100</v>
      </c>
      <c r="H6" s="33"/>
      <c r="I6" s="33">
        <v>98</v>
      </c>
      <c r="J6" s="33">
        <v>9.587</v>
      </c>
      <c r="K6" s="34"/>
      <c r="L6" s="34"/>
      <c r="M6" s="34"/>
      <c r="N6" s="35"/>
    </row>
    <row r="7" spans="1:14" ht="19.5" customHeight="1" thickBot="1">
      <c r="A7" s="254"/>
      <c r="B7" s="36" t="s">
        <v>27</v>
      </c>
      <c r="C7" s="57">
        <v>0.2638888888888889</v>
      </c>
      <c r="D7" s="38">
        <v>57</v>
      </c>
      <c r="E7" s="38">
        <v>6</v>
      </c>
      <c r="F7" s="38">
        <v>11</v>
      </c>
      <c r="G7" s="38">
        <v>100</v>
      </c>
      <c r="H7" s="38"/>
      <c r="I7" s="39"/>
      <c r="J7" s="39"/>
      <c r="K7" s="40">
        <v>42.8</v>
      </c>
      <c r="L7" s="40" t="s">
        <v>20</v>
      </c>
      <c r="M7" s="40" t="s">
        <v>20</v>
      </c>
      <c r="N7" s="41"/>
    </row>
    <row r="8" spans="1:14" ht="19.5" customHeight="1" thickTop="1">
      <c r="A8" s="255" t="s">
        <v>28</v>
      </c>
      <c r="B8" s="24" t="s">
        <v>22</v>
      </c>
      <c r="C8" s="55">
        <v>0.28680555555555554</v>
      </c>
      <c r="D8" s="26">
        <v>52</v>
      </c>
      <c r="E8" s="26">
        <v>6</v>
      </c>
      <c r="F8" s="26">
        <v>7</v>
      </c>
      <c r="G8" s="26">
        <v>47</v>
      </c>
      <c r="H8" s="26"/>
      <c r="I8" s="27"/>
      <c r="J8" s="27"/>
      <c r="K8" s="26">
        <v>69.3</v>
      </c>
      <c r="L8" s="26">
        <v>3.9</v>
      </c>
      <c r="M8" s="26">
        <v>4</v>
      </c>
      <c r="N8" s="42" t="s">
        <v>91</v>
      </c>
    </row>
    <row r="9" spans="1:14" ht="19.5" customHeight="1">
      <c r="A9" s="253"/>
      <c r="B9" s="31" t="s">
        <v>24</v>
      </c>
      <c r="C9" s="33"/>
      <c r="D9" s="33"/>
      <c r="E9" s="33"/>
      <c r="F9" s="33"/>
      <c r="G9" s="33"/>
      <c r="H9" s="33"/>
      <c r="I9" s="33"/>
      <c r="J9" s="34"/>
      <c r="K9" s="34"/>
      <c r="L9" s="34"/>
      <c r="M9" s="34"/>
      <c r="N9" s="35" t="s">
        <v>92</v>
      </c>
    </row>
    <row r="10" spans="1:14" ht="19.5" customHeight="1">
      <c r="A10" s="253"/>
      <c r="B10" s="31" t="s">
        <v>26</v>
      </c>
      <c r="C10" s="33"/>
      <c r="D10" s="33"/>
      <c r="E10" s="33"/>
      <c r="F10" s="33"/>
      <c r="G10" s="33"/>
      <c r="H10" s="33"/>
      <c r="I10" s="33"/>
      <c r="J10" s="33"/>
      <c r="K10" s="34"/>
      <c r="L10" s="34"/>
      <c r="M10" s="34"/>
      <c r="N10" s="35"/>
    </row>
    <row r="11" spans="1:14" ht="19.5" customHeight="1" thickBot="1">
      <c r="A11" s="254"/>
      <c r="B11" s="36" t="s">
        <v>27</v>
      </c>
      <c r="C11" s="57">
        <v>0.3680555555555556</v>
      </c>
      <c r="D11" s="38">
        <v>52</v>
      </c>
      <c r="E11" s="38">
        <v>6</v>
      </c>
      <c r="F11" s="38">
        <v>11</v>
      </c>
      <c r="G11" s="38">
        <v>71</v>
      </c>
      <c r="H11" s="38"/>
      <c r="I11" s="39"/>
      <c r="J11" s="39"/>
      <c r="K11" s="40">
        <v>69.4</v>
      </c>
      <c r="L11" s="40" t="s">
        <v>20</v>
      </c>
      <c r="M11" s="40" t="s">
        <v>20</v>
      </c>
      <c r="N11" s="41"/>
    </row>
    <row r="12" spans="1:14" ht="19.5" customHeight="1" thickTop="1">
      <c r="A12" s="255" t="s">
        <v>30</v>
      </c>
      <c r="B12" s="24" t="s">
        <v>22</v>
      </c>
      <c r="C12" s="55">
        <v>0.40972222222222227</v>
      </c>
      <c r="D12" s="26">
        <v>63</v>
      </c>
      <c r="E12" s="26">
        <v>6</v>
      </c>
      <c r="F12" s="26">
        <v>3</v>
      </c>
      <c r="G12" s="26">
        <v>26</v>
      </c>
      <c r="H12" s="26"/>
      <c r="I12" s="27"/>
      <c r="J12" s="27"/>
      <c r="K12" s="26">
        <v>120.5</v>
      </c>
      <c r="L12" s="26">
        <v>3.9</v>
      </c>
      <c r="M12" s="26">
        <v>4</v>
      </c>
      <c r="N12" s="42"/>
    </row>
    <row r="13" spans="1:14" ht="19.5" customHeight="1">
      <c r="A13" s="253"/>
      <c r="B13" s="31" t="s">
        <v>24</v>
      </c>
      <c r="C13" s="61">
        <v>0.41180555555555554</v>
      </c>
      <c r="D13" s="69">
        <v>63</v>
      </c>
      <c r="E13" s="69">
        <v>6</v>
      </c>
      <c r="F13" s="69">
        <v>3</v>
      </c>
      <c r="G13" s="69">
        <v>26</v>
      </c>
      <c r="H13" s="33"/>
      <c r="I13" s="33">
        <v>34</v>
      </c>
      <c r="J13" s="34"/>
      <c r="K13" s="34"/>
      <c r="L13" s="34"/>
      <c r="M13" s="34"/>
      <c r="N13" s="35"/>
    </row>
    <row r="14" spans="1:14" ht="19.5" customHeight="1">
      <c r="A14" s="253"/>
      <c r="B14" s="31" t="s">
        <v>26</v>
      </c>
      <c r="C14" s="61">
        <v>0.4291666666666667</v>
      </c>
      <c r="D14" s="33">
        <v>63</v>
      </c>
      <c r="E14" s="33">
        <v>6</v>
      </c>
      <c r="F14" s="33">
        <v>10</v>
      </c>
      <c r="G14" s="33">
        <v>101</v>
      </c>
      <c r="H14" s="33"/>
      <c r="I14" s="33">
        <v>89</v>
      </c>
      <c r="J14" s="33">
        <v>13.45</v>
      </c>
      <c r="K14" s="34"/>
      <c r="L14" s="34"/>
      <c r="M14" s="34"/>
      <c r="N14" s="35"/>
    </row>
    <row r="15" spans="1:14" ht="19.5" customHeight="1" thickBot="1">
      <c r="A15" s="254"/>
      <c r="B15" s="36" t="s">
        <v>27</v>
      </c>
      <c r="C15" s="57">
        <v>0.5208333333333334</v>
      </c>
      <c r="D15" s="38" t="s">
        <v>93</v>
      </c>
      <c r="E15" s="38">
        <v>6</v>
      </c>
      <c r="F15" s="38">
        <v>10</v>
      </c>
      <c r="G15" s="38">
        <v>101</v>
      </c>
      <c r="H15" s="38"/>
      <c r="I15" s="39"/>
      <c r="J15" s="39"/>
      <c r="K15" s="40">
        <v>120.5</v>
      </c>
      <c r="L15" s="40" t="s">
        <v>20</v>
      </c>
      <c r="M15" s="40" t="s">
        <v>20</v>
      </c>
      <c r="N15" s="41"/>
    </row>
    <row r="16" spans="1:14" ht="19.5" customHeight="1" thickTop="1">
      <c r="A16" s="252" t="s">
        <v>33</v>
      </c>
      <c r="B16" s="24" t="s">
        <v>22</v>
      </c>
      <c r="C16" s="26"/>
      <c r="D16" s="26"/>
      <c r="E16" s="26"/>
      <c r="F16" s="26"/>
      <c r="G16" s="26"/>
      <c r="H16" s="26"/>
      <c r="I16" s="27"/>
      <c r="J16" s="27"/>
      <c r="K16" s="26"/>
      <c r="L16" s="26"/>
      <c r="M16" s="26"/>
      <c r="N16" s="42" t="s">
        <v>94</v>
      </c>
    </row>
    <row r="17" spans="1:14" ht="19.5" customHeight="1">
      <c r="A17" s="253"/>
      <c r="B17" s="31" t="s">
        <v>35</v>
      </c>
      <c r="C17" s="33"/>
      <c r="D17" s="33"/>
      <c r="E17" s="33"/>
      <c r="F17" s="33"/>
      <c r="G17" s="33"/>
      <c r="H17" s="33"/>
      <c r="I17" s="34"/>
      <c r="J17" s="34"/>
      <c r="K17" s="34"/>
      <c r="L17" s="34"/>
      <c r="M17" s="34"/>
      <c r="N17" s="35"/>
    </row>
    <row r="18" spans="1:14" ht="19.5" customHeight="1">
      <c r="A18" s="253"/>
      <c r="B18" s="31" t="s">
        <v>36</v>
      </c>
      <c r="C18" s="33"/>
      <c r="D18" s="33"/>
      <c r="E18" s="33"/>
      <c r="F18" s="33"/>
      <c r="G18" s="33"/>
      <c r="H18" s="33"/>
      <c r="I18" s="34"/>
      <c r="J18" s="43"/>
      <c r="K18" s="34"/>
      <c r="L18" s="34"/>
      <c r="M18" s="34"/>
      <c r="N18" s="35"/>
    </row>
    <row r="19" spans="1:14" ht="19.5" customHeight="1" thickBot="1">
      <c r="A19" s="254"/>
      <c r="B19" s="36" t="s">
        <v>27</v>
      </c>
      <c r="C19" s="38"/>
      <c r="D19" s="38"/>
      <c r="E19" s="38"/>
      <c r="F19" s="38"/>
      <c r="G19" s="38"/>
      <c r="H19" s="38"/>
      <c r="I19" s="39"/>
      <c r="J19" s="39"/>
      <c r="K19" s="40"/>
      <c r="L19" s="40" t="s">
        <v>20</v>
      </c>
      <c r="M19" s="40" t="s">
        <v>20</v>
      </c>
      <c r="N19" s="41"/>
    </row>
    <row r="20" spans="1:14" ht="13.5" thickTop="1">
      <c r="A20" s="1"/>
      <c r="B20" s="2"/>
      <c r="C20" s="3"/>
      <c r="D20" s="4" t="s">
        <v>0</v>
      </c>
      <c r="E20" s="5" t="s">
        <v>1</v>
      </c>
      <c r="F20" s="5" t="s">
        <v>2</v>
      </c>
      <c r="G20" s="5"/>
      <c r="H20" s="3"/>
      <c r="I20" s="257" t="s">
        <v>3</v>
      </c>
      <c r="J20" s="258"/>
      <c r="K20" s="3" t="s">
        <v>4</v>
      </c>
      <c r="L20" s="256" t="s">
        <v>5</v>
      </c>
      <c r="M20" s="256"/>
      <c r="N20" s="44" t="s">
        <v>6</v>
      </c>
    </row>
    <row r="21" spans="1:14" ht="13.5" thickBot="1">
      <c r="A21" s="7"/>
      <c r="B21" s="8" t="s">
        <v>7</v>
      </c>
      <c r="C21" s="9" t="s">
        <v>8</v>
      </c>
      <c r="D21" s="10" t="s">
        <v>9</v>
      </c>
      <c r="E21" s="10" t="s">
        <v>10</v>
      </c>
      <c r="F21" s="10" t="s">
        <v>10</v>
      </c>
      <c r="G21" s="10" t="s">
        <v>11</v>
      </c>
      <c r="H21" s="9" t="s">
        <v>12</v>
      </c>
      <c r="I21" s="11" t="s">
        <v>2</v>
      </c>
      <c r="J21" s="11" t="s">
        <v>13</v>
      </c>
      <c r="K21" s="12" t="s">
        <v>14</v>
      </c>
      <c r="L21" s="10" t="s">
        <v>15</v>
      </c>
      <c r="M21" s="10" t="s">
        <v>16</v>
      </c>
      <c r="N21" s="13" t="s">
        <v>17</v>
      </c>
    </row>
    <row r="22" spans="1:14" ht="19.5" customHeight="1" thickTop="1">
      <c r="A22" s="252" t="s">
        <v>37</v>
      </c>
      <c r="B22" s="24" t="s">
        <v>22</v>
      </c>
      <c r="C22" s="55">
        <v>0.6319444444444444</v>
      </c>
      <c r="D22" s="26">
        <v>81</v>
      </c>
      <c r="E22" s="26">
        <v>6</v>
      </c>
      <c r="F22" s="26">
        <v>9</v>
      </c>
      <c r="G22" s="26"/>
      <c r="H22" s="26"/>
      <c r="I22" s="27"/>
      <c r="J22" s="27"/>
      <c r="K22" s="26">
        <v>142.9</v>
      </c>
      <c r="L22" s="26">
        <v>4.1</v>
      </c>
      <c r="M22" s="26">
        <v>4.2</v>
      </c>
      <c r="N22" s="42" t="s">
        <v>95</v>
      </c>
    </row>
    <row r="23" spans="1:14" ht="19.5" customHeight="1">
      <c r="A23" s="253"/>
      <c r="B23" s="31" t="s">
        <v>35</v>
      </c>
      <c r="C23" s="33"/>
      <c r="D23" s="33"/>
      <c r="E23" s="33"/>
      <c r="F23" s="33"/>
      <c r="G23" s="33"/>
      <c r="H23" s="33"/>
      <c r="I23" s="33"/>
      <c r="J23" s="34"/>
      <c r="K23" s="34"/>
      <c r="L23" s="34"/>
      <c r="M23" s="34"/>
      <c r="N23" s="35"/>
    </row>
    <row r="24" spans="1:14" ht="19.5" customHeight="1">
      <c r="A24" s="253"/>
      <c r="B24" s="31" t="s">
        <v>36</v>
      </c>
      <c r="C24" s="33"/>
      <c r="D24" s="33"/>
      <c r="E24" s="33"/>
      <c r="F24" s="33"/>
      <c r="G24" s="33"/>
      <c r="H24" s="33"/>
      <c r="I24" s="33"/>
      <c r="J24" s="33"/>
      <c r="K24" s="34"/>
      <c r="L24" s="34"/>
      <c r="M24" s="34"/>
      <c r="N24" s="35"/>
    </row>
    <row r="25" spans="1:14" ht="19.5" customHeight="1" thickBot="1">
      <c r="A25" s="254"/>
      <c r="B25" s="36" t="s">
        <v>27</v>
      </c>
      <c r="C25" s="57">
        <v>0.7243055555555555</v>
      </c>
      <c r="D25" s="38">
        <v>83</v>
      </c>
      <c r="E25" s="38">
        <v>6</v>
      </c>
      <c r="F25" s="38">
        <v>12</v>
      </c>
      <c r="G25" s="38">
        <v>120</v>
      </c>
      <c r="H25" s="38"/>
      <c r="I25" s="39"/>
      <c r="J25" s="39"/>
      <c r="K25" s="40">
        <v>142.9</v>
      </c>
      <c r="L25" s="40" t="s">
        <v>20</v>
      </c>
      <c r="M25" s="40" t="s">
        <v>20</v>
      </c>
      <c r="N25" s="41"/>
    </row>
    <row r="26" spans="1:14" ht="19.5" customHeight="1" thickTop="1">
      <c r="A26" s="255" t="s">
        <v>30</v>
      </c>
      <c r="B26" s="24" t="s">
        <v>22</v>
      </c>
      <c r="C26" s="55">
        <v>0.748611111111111</v>
      </c>
      <c r="D26" s="26">
        <v>76</v>
      </c>
      <c r="E26" s="26">
        <v>6</v>
      </c>
      <c r="F26" s="26">
        <v>9</v>
      </c>
      <c r="G26" s="26">
        <v>62</v>
      </c>
      <c r="H26" s="26"/>
      <c r="I26" s="27"/>
      <c r="J26" s="27"/>
      <c r="K26" s="26">
        <v>165.2</v>
      </c>
      <c r="L26" s="26"/>
      <c r="M26" s="26"/>
      <c r="N26" s="42"/>
    </row>
    <row r="27" spans="1:14" ht="19.5" customHeight="1">
      <c r="A27" s="253"/>
      <c r="B27" s="31" t="s">
        <v>24</v>
      </c>
      <c r="C27" s="61">
        <v>0.7569444444444445</v>
      </c>
      <c r="D27" s="33">
        <v>76</v>
      </c>
      <c r="E27" s="33">
        <v>6</v>
      </c>
      <c r="F27" s="33">
        <v>9</v>
      </c>
      <c r="G27" s="33">
        <v>62</v>
      </c>
      <c r="H27" s="33"/>
      <c r="I27" s="33">
        <v>73</v>
      </c>
      <c r="J27" s="34"/>
      <c r="K27" s="34"/>
      <c r="L27" s="34"/>
      <c r="M27" s="34"/>
      <c r="N27" s="35"/>
    </row>
    <row r="28" spans="1:14" ht="19.5" customHeight="1">
      <c r="A28" s="253"/>
      <c r="B28" s="31" t="s">
        <v>26</v>
      </c>
      <c r="C28" s="61">
        <v>0.7722222222222223</v>
      </c>
      <c r="D28" s="33">
        <v>76</v>
      </c>
      <c r="E28" s="33">
        <v>6</v>
      </c>
      <c r="F28" s="33">
        <v>11</v>
      </c>
      <c r="G28" s="33">
        <v>79</v>
      </c>
      <c r="H28" s="33"/>
      <c r="I28" s="33">
        <v>98</v>
      </c>
      <c r="J28" s="33">
        <v>4.16</v>
      </c>
      <c r="K28" s="34"/>
      <c r="L28" s="34"/>
      <c r="M28" s="34"/>
      <c r="N28" s="35"/>
    </row>
    <row r="29" spans="1:14" ht="19.5" customHeight="1" thickBot="1">
      <c r="A29" s="254"/>
      <c r="B29" s="36" t="s">
        <v>27</v>
      </c>
      <c r="C29" s="57">
        <v>0.7743055555555555</v>
      </c>
      <c r="D29" s="38">
        <v>76</v>
      </c>
      <c r="E29" s="38">
        <v>6</v>
      </c>
      <c r="F29" s="38">
        <v>11</v>
      </c>
      <c r="G29" s="38">
        <v>79</v>
      </c>
      <c r="H29" s="38"/>
      <c r="I29" s="39"/>
      <c r="J29" s="39"/>
      <c r="K29" s="40">
        <v>165.3</v>
      </c>
      <c r="L29" s="40" t="s">
        <v>20</v>
      </c>
      <c r="M29" s="40" t="s">
        <v>20</v>
      </c>
      <c r="N29" s="41"/>
    </row>
    <row r="30" spans="1:14" ht="19.5" customHeight="1" thickTop="1">
      <c r="A30" s="255" t="s">
        <v>28</v>
      </c>
      <c r="B30" s="24" t="s">
        <v>22</v>
      </c>
      <c r="C30" s="55"/>
      <c r="D30" s="26"/>
      <c r="E30" s="26"/>
      <c r="F30" s="26"/>
      <c r="G30" s="26"/>
      <c r="H30" s="26"/>
      <c r="I30" s="27"/>
      <c r="J30" s="27"/>
      <c r="K30" s="26"/>
      <c r="L30" s="26"/>
      <c r="M30" s="26"/>
      <c r="N30" s="42" t="s">
        <v>96</v>
      </c>
    </row>
    <row r="31" spans="1:14" ht="19.5" customHeight="1">
      <c r="A31" s="253"/>
      <c r="B31" s="31" t="s">
        <v>24</v>
      </c>
      <c r="C31" s="33"/>
      <c r="D31" s="33"/>
      <c r="E31" s="33"/>
      <c r="F31" s="33"/>
      <c r="G31" s="33"/>
      <c r="H31" s="33"/>
      <c r="I31" s="33"/>
      <c r="J31" s="34"/>
      <c r="K31" s="34"/>
      <c r="L31" s="34"/>
      <c r="M31" s="34"/>
      <c r="N31" s="35"/>
    </row>
    <row r="32" spans="1:14" ht="19.5" customHeight="1">
      <c r="A32" s="253"/>
      <c r="B32" s="31" t="s">
        <v>26</v>
      </c>
      <c r="C32" s="33"/>
      <c r="D32" s="33"/>
      <c r="E32" s="33"/>
      <c r="F32" s="33"/>
      <c r="G32" s="33"/>
      <c r="H32" s="33"/>
      <c r="I32" s="33"/>
      <c r="J32" s="33"/>
      <c r="K32" s="34"/>
      <c r="L32" s="34"/>
      <c r="M32" s="34"/>
      <c r="N32" s="35"/>
    </row>
    <row r="33" spans="1:14" ht="19.5" customHeight="1" thickBot="1">
      <c r="A33" s="254"/>
      <c r="B33" s="36" t="s">
        <v>27</v>
      </c>
      <c r="C33" s="38"/>
      <c r="D33" s="38"/>
      <c r="E33" s="38"/>
      <c r="F33" s="38"/>
      <c r="G33" s="38"/>
      <c r="H33" s="38"/>
      <c r="I33" s="39"/>
      <c r="J33" s="39"/>
      <c r="K33" s="40"/>
      <c r="L33" s="40" t="s">
        <v>20</v>
      </c>
      <c r="M33" s="40" t="s">
        <v>20</v>
      </c>
      <c r="N33" s="41"/>
    </row>
    <row r="34" spans="1:14" ht="19.5" customHeight="1" thickTop="1">
      <c r="A34" s="255" t="s">
        <v>21</v>
      </c>
      <c r="B34" s="24" t="s">
        <v>22</v>
      </c>
      <c r="C34" s="55">
        <v>0.8826388888888889</v>
      </c>
      <c r="D34" s="26">
        <v>60</v>
      </c>
      <c r="E34" s="26">
        <v>6</v>
      </c>
      <c r="F34" s="26">
        <v>0</v>
      </c>
      <c r="G34" s="70" t="s">
        <v>97</v>
      </c>
      <c r="H34" s="26"/>
      <c r="I34" s="27"/>
      <c r="J34" s="27"/>
      <c r="K34" s="26">
        <v>242.9</v>
      </c>
      <c r="L34" s="26">
        <v>4.1</v>
      </c>
      <c r="M34" s="26">
        <v>4.2</v>
      </c>
      <c r="N34" s="42" t="s">
        <v>98</v>
      </c>
    </row>
    <row r="35" spans="1:14" ht="19.5" customHeight="1">
      <c r="A35" s="253"/>
      <c r="B35" s="31" t="s">
        <v>24</v>
      </c>
      <c r="C35" s="61">
        <v>0.8868055555555556</v>
      </c>
      <c r="D35" s="33">
        <v>60</v>
      </c>
      <c r="E35" s="33">
        <v>6</v>
      </c>
      <c r="F35" s="33">
        <v>0</v>
      </c>
      <c r="G35" s="71" t="s">
        <v>97</v>
      </c>
      <c r="H35" s="33"/>
      <c r="I35" s="33"/>
      <c r="J35" s="34"/>
      <c r="K35" s="34"/>
      <c r="L35" s="34"/>
      <c r="M35" s="34"/>
      <c r="N35" s="35"/>
    </row>
    <row r="36" spans="1:14" ht="19.5" customHeight="1">
      <c r="A36" s="253"/>
      <c r="B36" s="31" t="s">
        <v>26</v>
      </c>
      <c r="C36" s="61">
        <v>0.9083333333333333</v>
      </c>
      <c r="D36" s="33">
        <v>60</v>
      </c>
      <c r="E36" s="33">
        <v>7</v>
      </c>
      <c r="F36" s="33">
        <v>9</v>
      </c>
      <c r="G36" s="33">
        <v>100</v>
      </c>
      <c r="H36" s="33"/>
      <c r="I36" s="33">
        <v>89</v>
      </c>
      <c r="J36" s="33">
        <v>18</v>
      </c>
      <c r="K36" s="34"/>
      <c r="L36" s="34"/>
      <c r="M36" s="34"/>
      <c r="N36" s="35"/>
    </row>
    <row r="37" spans="1:14" ht="19.5" customHeight="1" thickBot="1">
      <c r="A37" s="254"/>
      <c r="B37" s="36" t="s">
        <v>27</v>
      </c>
      <c r="C37" s="57">
        <v>0.9090277777777778</v>
      </c>
      <c r="D37" s="38">
        <v>60</v>
      </c>
      <c r="E37" s="38">
        <v>7</v>
      </c>
      <c r="F37" s="38">
        <v>9</v>
      </c>
      <c r="G37" s="38">
        <v>100</v>
      </c>
      <c r="H37" s="38"/>
      <c r="I37" s="39"/>
      <c r="J37" s="39"/>
      <c r="K37" s="40">
        <v>242.9</v>
      </c>
      <c r="L37" s="40" t="s">
        <v>20</v>
      </c>
      <c r="M37" s="40" t="s">
        <v>20</v>
      </c>
      <c r="N37" s="41"/>
    </row>
    <row r="38" spans="1:14" ht="19.5" customHeight="1" thickBot="1" thickTop="1">
      <c r="A38" s="45"/>
      <c r="B38" s="17" t="s">
        <v>19</v>
      </c>
      <c r="C38" s="64">
        <v>0.9479166666666666</v>
      </c>
      <c r="D38" s="19">
        <v>62</v>
      </c>
      <c r="E38" s="19">
        <v>7</v>
      </c>
      <c r="F38" s="19">
        <v>5</v>
      </c>
      <c r="G38" s="19">
        <v>37</v>
      </c>
      <c r="H38" s="19"/>
      <c r="I38" s="20"/>
      <c r="J38" s="20"/>
      <c r="K38" s="21">
        <v>275.4</v>
      </c>
      <c r="L38" s="21">
        <v>4.1</v>
      </c>
      <c r="M38" s="21">
        <v>4.2</v>
      </c>
      <c r="N38" s="23"/>
    </row>
    <row r="39" ht="13.5" thickTop="1"/>
  </sheetData>
  <sheetProtection/>
  <mergeCells count="12">
    <mergeCell ref="L1:M1"/>
    <mergeCell ref="L20:M20"/>
    <mergeCell ref="A4:A7"/>
    <mergeCell ref="A8:A11"/>
    <mergeCell ref="A12:A15"/>
    <mergeCell ref="A16:A19"/>
    <mergeCell ref="I1:J1"/>
    <mergeCell ref="I20:J20"/>
    <mergeCell ref="A22:A25"/>
    <mergeCell ref="A26:A29"/>
    <mergeCell ref="A30:A33"/>
    <mergeCell ref="A34:A37"/>
  </mergeCells>
  <printOptions/>
  <pageMargins left="0.7" right="0.4" top="0.75" bottom="0.5" header="0.5" footer="0.25"/>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140625" defaultRowHeight="12.75"/>
  <cols>
    <col min="1" max="1" width="8.140625" style="0" bestFit="1" customWidth="1"/>
    <col min="2" max="2" width="4.00390625" style="0" bestFit="1" customWidth="1"/>
    <col min="3" max="3" width="7.140625" style="0" bestFit="1" customWidth="1"/>
    <col min="4" max="4" width="13.28125" style="0" bestFit="1" customWidth="1"/>
    <col min="5" max="5" width="13.7109375" style="0" bestFit="1" customWidth="1"/>
    <col min="6" max="6" width="5.140625" style="0" bestFit="1" customWidth="1"/>
    <col min="7" max="7" width="7.421875" style="0" bestFit="1" customWidth="1"/>
    <col min="8" max="8" width="6.00390625" style="0" bestFit="1" customWidth="1"/>
    <col min="9" max="9" width="5.140625" style="0" bestFit="1" customWidth="1"/>
    <col min="10" max="10" width="12.421875" style="0" bestFit="1" customWidth="1"/>
    <col min="11" max="11" width="63.00390625" style="0" bestFit="1" customWidth="1"/>
  </cols>
  <sheetData>
    <row r="1" ht="12.75">
      <c r="A1" s="210" t="s">
        <v>257</v>
      </c>
    </row>
    <row r="3" spans="1:11" ht="12.75">
      <c r="A3" t="s">
        <v>8</v>
      </c>
      <c r="B3" t="s">
        <v>230</v>
      </c>
      <c r="C3" t="s">
        <v>231</v>
      </c>
      <c r="D3" t="s">
        <v>232</v>
      </c>
      <c r="E3" t="s">
        <v>233</v>
      </c>
      <c r="F3" t="s">
        <v>234</v>
      </c>
      <c r="G3" t="s">
        <v>235</v>
      </c>
      <c r="H3" t="s">
        <v>236</v>
      </c>
      <c r="I3" t="s">
        <v>237</v>
      </c>
      <c r="J3" t="s">
        <v>7</v>
      </c>
      <c r="K3" t="s">
        <v>238</v>
      </c>
    </row>
    <row r="4" spans="1:11" ht="12.75">
      <c r="A4" s="209">
        <v>0.26805555555555555</v>
      </c>
      <c r="B4">
        <v>15</v>
      </c>
      <c r="E4">
        <v>72</v>
      </c>
      <c r="F4">
        <v>18</v>
      </c>
      <c r="G4">
        <v>1227</v>
      </c>
      <c r="H4">
        <v>6.4</v>
      </c>
      <c r="I4">
        <v>0</v>
      </c>
      <c r="J4" t="s">
        <v>19</v>
      </c>
      <c r="K4" t="s">
        <v>239</v>
      </c>
    </row>
    <row r="5" spans="1:11" ht="12.75">
      <c r="A5" s="209">
        <v>0.2951388888888889</v>
      </c>
      <c r="B5">
        <v>7</v>
      </c>
      <c r="E5">
        <v>28</v>
      </c>
      <c r="J5" t="s">
        <v>240</v>
      </c>
      <c r="K5" t="s">
        <v>241</v>
      </c>
    </row>
    <row r="6" spans="1:11" ht="12.75">
      <c r="A6" s="209">
        <v>0.3034722222222222</v>
      </c>
      <c r="B6">
        <v>5</v>
      </c>
      <c r="E6">
        <v>19</v>
      </c>
      <c r="J6" t="s">
        <v>21</v>
      </c>
      <c r="K6" t="s">
        <v>242</v>
      </c>
    </row>
    <row r="7" spans="1:11" ht="12.75">
      <c r="A7" s="209">
        <v>0.33055555555555555</v>
      </c>
      <c r="C7">
        <v>0.87</v>
      </c>
      <c r="J7" t="s">
        <v>21</v>
      </c>
      <c r="K7" t="s">
        <v>243</v>
      </c>
    </row>
    <row r="8" spans="1:11" ht="12.75">
      <c r="A8" s="209">
        <v>0.3659722222222222</v>
      </c>
      <c r="C8">
        <v>0.4</v>
      </c>
      <c r="J8" t="s">
        <v>28</v>
      </c>
      <c r="K8" t="s">
        <v>242</v>
      </c>
    </row>
    <row r="9" spans="1:11" ht="12.75">
      <c r="A9" s="209">
        <v>0.3756944444444445</v>
      </c>
      <c r="C9">
        <v>0.81</v>
      </c>
      <c r="D9">
        <v>6.196</v>
      </c>
      <c r="J9" t="s">
        <v>28</v>
      </c>
      <c r="K9" t="s">
        <v>243</v>
      </c>
    </row>
    <row r="10" spans="1:11" ht="12.75">
      <c r="A10" s="209">
        <v>0.3763888888888889</v>
      </c>
      <c r="C10">
        <v>0.81</v>
      </c>
      <c r="J10" t="s">
        <v>28</v>
      </c>
      <c r="K10" t="s">
        <v>242</v>
      </c>
    </row>
    <row r="11" spans="1:11" ht="12.75">
      <c r="A11" s="209">
        <v>0.3854166666666667</v>
      </c>
      <c r="C11">
        <v>0.93</v>
      </c>
      <c r="D11">
        <v>1.853</v>
      </c>
      <c r="J11" t="s">
        <v>28</v>
      </c>
      <c r="K11" t="s">
        <v>243</v>
      </c>
    </row>
    <row r="12" spans="1:11" ht="12.75">
      <c r="A12" s="209">
        <v>0.3965277777777778</v>
      </c>
      <c r="B12">
        <v>16</v>
      </c>
      <c r="E12">
        <v>47</v>
      </c>
      <c r="J12" t="s">
        <v>28</v>
      </c>
      <c r="K12" t="s">
        <v>244</v>
      </c>
    </row>
    <row r="13" spans="1:11" ht="12.75">
      <c r="A13" s="209">
        <v>0.4138888888888889</v>
      </c>
      <c r="B13">
        <v>8</v>
      </c>
      <c r="D13">
        <v>0.904</v>
      </c>
      <c r="J13" t="s">
        <v>73</v>
      </c>
      <c r="K13" t="s">
        <v>245</v>
      </c>
    </row>
    <row r="14" spans="1:11" ht="12.75">
      <c r="A14" s="209">
        <v>0.4277777777777778</v>
      </c>
      <c r="B14">
        <v>9</v>
      </c>
      <c r="H14">
        <v>87</v>
      </c>
      <c r="I14">
        <v>42.4</v>
      </c>
      <c r="J14" t="s">
        <v>73</v>
      </c>
      <c r="K14" t="s">
        <v>246</v>
      </c>
    </row>
    <row r="15" spans="1:11" ht="12.75">
      <c r="A15" s="209">
        <v>0.4625</v>
      </c>
      <c r="B15">
        <v>3</v>
      </c>
      <c r="C15">
        <v>0.24</v>
      </c>
      <c r="J15" t="s">
        <v>30</v>
      </c>
      <c r="K15" t="s">
        <v>242</v>
      </c>
    </row>
    <row r="16" spans="1:11" ht="12.75">
      <c r="A16" s="209">
        <v>0.4763888888888889</v>
      </c>
      <c r="B16">
        <v>14</v>
      </c>
      <c r="C16">
        <v>0.82</v>
      </c>
      <c r="D16">
        <v>8.697</v>
      </c>
      <c r="E16">
        <v>71</v>
      </c>
      <c r="J16" t="s">
        <v>30</v>
      </c>
      <c r="K16" t="s">
        <v>243</v>
      </c>
    </row>
    <row r="17" spans="1:11" ht="12.75">
      <c r="A17" s="209">
        <v>0.7479166666666667</v>
      </c>
      <c r="B17">
        <v>12</v>
      </c>
      <c r="E17">
        <v>50</v>
      </c>
      <c r="F17">
        <v>32</v>
      </c>
      <c r="G17">
        <v>1365</v>
      </c>
      <c r="H17">
        <v>144.2</v>
      </c>
      <c r="J17" t="s">
        <v>193</v>
      </c>
      <c r="K17" t="s">
        <v>247</v>
      </c>
    </row>
    <row r="18" spans="1:11" ht="12.75">
      <c r="A18" s="209">
        <v>0.7729166666666667</v>
      </c>
      <c r="B18">
        <v>4</v>
      </c>
      <c r="F18">
        <v>26</v>
      </c>
      <c r="G18">
        <v>1387</v>
      </c>
      <c r="I18">
        <v>79</v>
      </c>
      <c r="J18" t="s">
        <v>30</v>
      </c>
      <c r="K18" t="s">
        <v>248</v>
      </c>
    </row>
    <row r="19" spans="1:11" ht="12.75">
      <c r="A19" s="209">
        <v>0.782638888888889</v>
      </c>
      <c r="C19">
        <v>0.33</v>
      </c>
      <c r="J19" t="s">
        <v>30</v>
      </c>
      <c r="K19" t="s">
        <v>242</v>
      </c>
    </row>
    <row r="20" spans="1:11" ht="12.75">
      <c r="A20" s="209">
        <v>0.7875</v>
      </c>
      <c r="B20">
        <v>8</v>
      </c>
      <c r="J20" t="s">
        <v>30</v>
      </c>
      <c r="K20" t="s">
        <v>249</v>
      </c>
    </row>
    <row r="21" spans="1:11" ht="12.75">
      <c r="A21" s="209">
        <v>0.79375</v>
      </c>
      <c r="B21">
        <v>14</v>
      </c>
      <c r="E21">
        <v>44</v>
      </c>
      <c r="F21">
        <v>26</v>
      </c>
      <c r="J21" t="s">
        <v>30</v>
      </c>
      <c r="K21" t="s">
        <v>243</v>
      </c>
    </row>
    <row r="22" spans="1:11" ht="12.75">
      <c r="A22" s="209">
        <v>0.8125</v>
      </c>
      <c r="B22">
        <v>7</v>
      </c>
      <c r="E22">
        <v>20</v>
      </c>
      <c r="F22">
        <v>18</v>
      </c>
      <c r="K22" t="s">
        <v>250</v>
      </c>
    </row>
    <row r="23" spans="1:11" ht="12.75">
      <c r="A23" s="209">
        <v>0.8493055555555555</v>
      </c>
      <c r="B23">
        <v>7</v>
      </c>
      <c r="E23">
        <v>22</v>
      </c>
      <c r="J23" t="s">
        <v>251</v>
      </c>
      <c r="K23" t="s">
        <v>252</v>
      </c>
    </row>
    <row r="24" spans="1:11" ht="12.75">
      <c r="A24" s="209">
        <v>0.8611111111111112</v>
      </c>
      <c r="B24">
        <v>2</v>
      </c>
      <c r="E24">
        <v>6</v>
      </c>
      <c r="K24" t="s">
        <v>253</v>
      </c>
    </row>
    <row r="25" spans="1:11" ht="12.75">
      <c r="A25" s="209">
        <v>0.8652777777777777</v>
      </c>
      <c r="B25">
        <v>0</v>
      </c>
      <c r="E25">
        <v>1</v>
      </c>
      <c r="K25" t="s">
        <v>254</v>
      </c>
    </row>
    <row r="26" spans="1:11" ht="12.75">
      <c r="A26" s="209">
        <v>0.8722222222222222</v>
      </c>
      <c r="B26">
        <v>0</v>
      </c>
      <c r="E26" t="s">
        <v>97</v>
      </c>
      <c r="J26" t="s">
        <v>73</v>
      </c>
      <c r="K26" t="s">
        <v>245</v>
      </c>
    </row>
    <row r="27" spans="1:11" ht="12.75">
      <c r="A27" s="209">
        <v>0.9166666666666666</v>
      </c>
      <c r="B27">
        <v>3</v>
      </c>
      <c r="E27">
        <v>8</v>
      </c>
      <c r="J27" t="s">
        <v>73</v>
      </c>
      <c r="K27" t="s">
        <v>244</v>
      </c>
    </row>
    <row r="28" spans="1:11" ht="12.75">
      <c r="A28" s="209">
        <v>0.936111111111111</v>
      </c>
      <c r="B28">
        <v>4</v>
      </c>
      <c r="J28" t="s">
        <v>255</v>
      </c>
      <c r="K28" t="s">
        <v>256</v>
      </c>
    </row>
    <row r="29" spans="1:11" ht="12.75">
      <c r="A29" s="209">
        <v>0.9513888888888888</v>
      </c>
      <c r="B29">
        <v>14</v>
      </c>
      <c r="E29">
        <v>81</v>
      </c>
      <c r="F29">
        <v>16</v>
      </c>
      <c r="J29" t="s">
        <v>255</v>
      </c>
      <c r="K29" t="s">
        <v>243</v>
      </c>
    </row>
  </sheetData>
  <printOptions/>
  <pageMargins left="0.75" right="0.75" top="1" bottom="1" header="0.5" footer="0.5"/>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N38"/>
  <sheetViews>
    <sheetView workbookViewId="0" topLeftCell="A1">
      <selection activeCell="A1" sqref="A1"/>
    </sheetView>
  </sheetViews>
  <sheetFormatPr defaultColWidth="9.140625" defaultRowHeight="12.75"/>
  <cols>
    <col min="1" max="1" width="4.7109375" style="78" customWidth="1"/>
    <col min="2" max="2" width="10.7109375" style="78" customWidth="1"/>
    <col min="3" max="3" width="9.140625" style="78" customWidth="1"/>
    <col min="4" max="4" width="6.7109375" style="78" customWidth="1"/>
    <col min="5" max="13" width="5.7109375" style="78" customWidth="1"/>
    <col min="14" max="14" width="26.7109375" style="78" customWidth="1"/>
    <col min="15" max="16384" width="9.140625" style="78" customWidth="1"/>
  </cols>
  <sheetData>
    <row r="1" spans="1:14" ht="12.75">
      <c r="A1" s="72" t="s">
        <v>117</v>
      </c>
      <c r="B1" s="73"/>
      <c r="C1" s="74"/>
      <c r="D1" s="75" t="s">
        <v>0</v>
      </c>
      <c r="E1" s="76" t="s">
        <v>1</v>
      </c>
      <c r="F1" s="76" t="s">
        <v>2</v>
      </c>
      <c r="G1" s="76"/>
      <c r="H1" s="74"/>
      <c r="I1" s="259" t="s">
        <v>3</v>
      </c>
      <c r="J1" s="259"/>
      <c r="K1" s="74" t="s">
        <v>4</v>
      </c>
      <c r="L1" s="260" t="s">
        <v>5</v>
      </c>
      <c r="M1" s="260"/>
      <c r="N1" s="77" t="s">
        <v>6</v>
      </c>
    </row>
    <row r="2" spans="1:14" ht="12.75">
      <c r="A2" s="79"/>
      <c r="B2" s="80" t="s">
        <v>7</v>
      </c>
      <c r="C2" s="81" t="s">
        <v>8</v>
      </c>
      <c r="D2" s="82" t="s">
        <v>9</v>
      </c>
      <c r="E2" s="82" t="s">
        <v>10</v>
      </c>
      <c r="F2" s="82" t="s">
        <v>10</v>
      </c>
      <c r="G2" s="82" t="s">
        <v>11</v>
      </c>
      <c r="H2" s="81" t="s">
        <v>12</v>
      </c>
      <c r="I2" s="83" t="s">
        <v>2</v>
      </c>
      <c r="J2" s="83" t="s">
        <v>13</v>
      </c>
      <c r="K2" s="85" t="s">
        <v>14</v>
      </c>
      <c r="L2" s="82" t="s">
        <v>15</v>
      </c>
      <c r="M2" s="82" t="s">
        <v>16</v>
      </c>
      <c r="N2" s="86" t="s">
        <v>17</v>
      </c>
    </row>
    <row r="3" spans="1:14" ht="19.5" customHeight="1">
      <c r="A3" s="87"/>
      <c r="B3" s="88" t="s">
        <v>19</v>
      </c>
      <c r="C3" s="89">
        <v>0.2361111111111111</v>
      </c>
      <c r="D3" s="90">
        <v>67</v>
      </c>
      <c r="E3" s="90">
        <v>5</v>
      </c>
      <c r="F3" s="90">
        <v>11</v>
      </c>
      <c r="G3" s="90">
        <v>91</v>
      </c>
      <c r="H3" s="90"/>
      <c r="I3" s="91"/>
      <c r="J3" s="91"/>
      <c r="K3" s="92">
        <v>0</v>
      </c>
      <c r="L3" s="92" t="s">
        <v>20</v>
      </c>
      <c r="M3" s="92" t="s">
        <v>20</v>
      </c>
      <c r="N3" s="93" t="s">
        <v>102</v>
      </c>
    </row>
    <row r="4" spans="1:14" ht="19.5" customHeight="1">
      <c r="A4" s="261" t="s">
        <v>21</v>
      </c>
      <c r="B4" s="94" t="s">
        <v>22</v>
      </c>
      <c r="C4" s="95">
        <v>0.2659722222222222</v>
      </c>
      <c r="D4" s="96">
        <v>55</v>
      </c>
      <c r="E4" s="96">
        <v>5</v>
      </c>
      <c r="F4" s="96">
        <v>8</v>
      </c>
      <c r="G4" s="96">
        <v>70</v>
      </c>
      <c r="H4" s="96"/>
      <c r="I4" s="97"/>
      <c r="J4" s="97"/>
      <c r="K4" s="96">
        <v>24.7</v>
      </c>
      <c r="L4" s="96"/>
      <c r="M4" s="96"/>
      <c r="N4" s="98" t="s">
        <v>103</v>
      </c>
    </row>
    <row r="5" spans="1:14" ht="19.5" customHeight="1">
      <c r="A5" s="261"/>
      <c r="B5" s="99" t="s">
        <v>24</v>
      </c>
      <c r="C5" s="100">
        <v>0.26805555555555555</v>
      </c>
      <c r="D5" s="101"/>
      <c r="E5" s="101"/>
      <c r="F5" s="101"/>
      <c r="G5" s="101"/>
      <c r="H5" s="101"/>
      <c r="I5" s="101">
        <v>65</v>
      </c>
      <c r="J5" s="102"/>
      <c r="K5" s="102"/>
      <c r="L5" s="102"/>
      <c r="M5" s="102"/>
      <c r="N5" s="103" t="s">
        <v>104</v>
      </c>
    </row>
    <row r="6" spans="1:14" ht="19.5" customHeight="1">
      <c r="A6" s="261"/>
      <c r="B6" s="99" t="s">
        <v>26</v>
      </c>
      <c r="C6" s="100">
        <v>0.2972222222222222</v>
      </c>
      <c r="D6" s="101"/>
      <c r="E6" s="101"/>
      <c r="F6" s="101"/>
      <c r="G6" s="101"/>
      <c r="H6" s="101"/>
      <c r="I6" s="101">
        <v>98</v>
      </c>
      <c r="J6" s="101">
        <v>7.8</v>
      </c>
      <c r="K6" s="102"/>
      <c r="L6" s="102"/>
      <c r="M6" s="102"/>
      <c r="N6" s="103" t="s">
        <v>105</v>
      </c>
    </row>
    <row r="7" spans="1:14" ht="19.5" customHeight="1">
      <c r="A7" s="261"/>
      <c r="B7" s="104" t="s">
        <v>27</v>
      </c>
      <c r="C7" s="105">
        <v>0.2986111111111111</v>
      </c>
      <c r="D7" s="106">
        <v>55</v>
      </c>
      <c r="E7" s="106"/>
      <c r="F7" s="106"/>
      <c r="G7" s="106"/>
      <c r="H7" s="106"/>
      <c r="I7" s="107"/>
      <c r="J7" s="107"/>
      <c r="K7" s="108">
        <v>24.7</v>
      </c>
      <c r="L7" s="108" t="s">
        <v>20</v>
      </c>
      <c r="M7" s="108" t="s">
        <v>20</v>
      </c>
      <c r="N7" s="109" t="s">
        <v>106</v>
      </c>
    </row>
    <row r="8" spans="1:14" ht="19.5" customHeight="1">
      <c r="A8" s="261" t="s">
        <v>28</v>
      </c>
      <c r="B8" s="94" t="s">
        <v>22</v>
      </c>
      <c r="C8" s="95">
        <v>0.3236111111111111</v>
      </c>
      <c r="D8" s="96">
        <v>53</v>
      </c>
      <c r="E8" s="96">
        <v>5</v>
      </c>
      <c r="F8" s="96">
        <v>7</v>
      </c>
      <c r="G8" s="96">
        <v>50</v>
      </c>
      <c r="H8" s="96"/>
      <c r="I8" s="97"/>
      <c r="J8" s="97"/>
      <c r="K8" s="96"/>
      <c r="L8" s="96">
        <v>4.1</v>
      </c>
      <c r="M8" s="96">
        <v>4.2</v>
      </c>
      <c r="N8" s="110"/>
    </row>
    <row r="9" spans="1:14" ht="19.5" customHeight="1">
      <c r="A9" s="261"/>
      <c r="B9" s="99" t="s">
        <v>24</v>
      </c>
      <c r="C9" s="100">
        <v>0.325</v>
      </c>
      <c r="D9" s="101"/>
      <c r="E9" s="101"/>
      <c r="F9" s="101"/>
      <c r="G9" s="101"/>
      <c r="H9" s="101"/>
      <c r="I9" s="101">
        <v>63</v>
      </c>
      <c r="J9" s="102"/>
      <c r="K9" s="102"/>
      <c r="L9" s="102"/>
      <c r="M9" s="102"/>
      <c r="N9" s="103"/>
    </row>
    <row r="10" spans="1:14" ht="19.5" customHeight="1">
      <c r="A10" s="261"/>
      <c r="B10" s="99" t="s">
        <v>26</v>
      </c>
      <c r="C10" s="100">
        <v>0.35625</v>
      </c>
      <c r="D10" s="101"/>
      <c r="E10" s="101"/>
      <c r="F10" s="101"/>
      <c r="G10" s="101"/>
      <c r="H10" s="101"/>
      <c r="I10" s="101">
        <v>98</v>
      </c>
      <c r="J10" s="101">
        <v>8.6</v>
      </c>
      <c r="K10" s="102"/>
      <c r="L10" s="102"/>
      <c r="M10" s="102"/>
      <c r="N10" s="103" t="s">
        <v>107</v>
      </c>
    </row>
    <row r="11" spans="1:14" ht="19.5" customHeight="1">
      <c r="A11" s="261"/>
      <c r="B11" s="104" t="s">
        <v>27</v>
      </c>
      <c r="C11" s="105">
        <v>0.3597222222222222</v>
      </c>
      <c r="D11" s="106">
        <v>53</v>
      </c>
      <c r="E11" s="106">
        <v>6</v>
      </c>
      <c r="F11" s="106">
        <v>12</v>
      </c>
      <c r="G11" s="106">
        <v>86</v>
      </c>
      <c r="H11" s="106"/>
      <c r="I11" s="107"/>
      <c r="J11" s="107"/>
      <c r="K11" s="108"/>
      <c r="L11" s="108" t="s">
        <v>20</v>
      </c>
      <c r="M11" s="108" t="s">
        <v>20</v>
      </c>
      <c r="N11" s="109" t="s">
        <v>108</v>
      </c>
    </row>
    <row r="12" spans="1:14" ht="19.5" customHeight="1">
      <c r="A12" s="261" t="s">
        <v>30</v>
      </c>
      <c r="B12" s="94" t="s">
        <v>22</v>
      </c>
      <c r="C12" s="95">
        <v>0.4097222222222222</v>
      </c>
      <c r="D12" s="96">
        <v>63</v>
      </c>
      <c r="E12" s="96">
        <v>6</v>
      </c>
      <c r="F12" s="96">
        <v>4</v>
      </c>
      <c r="G12" s="96"/>
      <c r="H12" s="96"/>
      <c r="I12" s="97"/>
      <c r="J12" s="97"/>
      <c r="K12" s="96"/>
      <c r="L12" s="96">
        <v>4</v>
      </c>
      <c r="M12" s="96">
        <v>4.2</v>
      </c>
      <c r="N12" s="110"/>
    </row>
    <row r="13" spans="1:14" ht="19.5" customHeight="1">
      <c r="A13" s="261"/>
      <c r="B13" s="99" t="s">
        <v>24</v>
      </c>
      <c r="C13" s="100">
        <v>0.42986111111111114</v>
      </c>
      <c r="D13" s="101"/>
      <c r="E13" s="101"/>
      <c r="F13" s="101"/>
      <c r="G13" s="101"/>
      <c r="H13" s="101"/>
      <c r="I13" s="101">
        <v>49</v>
      </c>
      <c r="J13" s="102"/>
      <c r="K13" s="102"/>
      <c r="L13" s="102"/>
      <c r="M13" s="102"/>
      <c r="N13" s="103"/>
    </row>
    <row r="14" spans="1:14" ht="19.5" customHeight="1">
      <c r="A14" s="261"/>
      <c r="B14" s="99" t="s">
        <v>26</v>
      </c>
      <c r="C14" s="100"/>
      <c r="D14" s="101">
        <v>63</v>
      </c>
      <c r="E14" s="101">
        <v>6</v>
      </c>
      <c r="F14" s="101">
        <v>10</v>
      </c>
      <c r="G14" s="101"/>
      <c r="H14" s="101"/>
      <c r="I14" s="101">
        <v>90</v>
      </c>
      <c r="J14" s="101">
        <v>8.6</v>
      </c>
      <c r="K14" s="102"/>
      <c r="L14" s="102"/>
      <c r="M14" s="102"/>
      <c r="N14" s="103"/>
    </row>
    <row r="15" spans="1:14" ht="19.5" customHeight="1">
      <c r="A15" s="261"/>
      <c r="B15" s="104" t="s">
        <v>27</v>
      </c>
      <c r="C15" s="105"/>
      <c r="D15" s="106"/>
      <c r="E15" s="106"/>
      <c r="F15" s="106"/>
      <c r="G15" s="106"/>
      <c r="H15" s="106"/>
      <c r="I15" s="107"/>
      <c r="J15" s="107"/>
      <c r="K15" s="108"/>
      <c r="L15" s="108" t="s">
        <v>20</v>
      </c>
      <c r="M15" s="108" t="s">
        <v>20</v>
      </c>
      <c r="N15" s="109" t="s">
        <v>109</v>
      </c>
    </row>
    <row r="16" spans="1:14" ht="19.5" customHeight="1">
      <c r="A16" s="262" t="s">
        <v>33</v>
      </c>
      <c r="B16" s="94" t="s">
        <v>22</v>
      </c>
      <c r="C16" s="95"/>
      <c r="D16" s="96"/>
      <c r="E16" s="96"/>
      <c r="F16" s="96"/>
      <c r="G16" s="96"/>
      <c r="H16" s="96"/>
      <c r="I16" s="97"/>
      <c r="J16" s="97"/>
      <c r="K16" s="96"/>
      <c r="L16" s="96"/>
      <c r="M16" s="96"/>
      <c r="N16" s="110" t="s">
        <v>110</v>
      </c>
    </row>
    <row r="17" spans="1:14" ht="19.5" customHeight="1">
      <c r="A17" s="262"/>
      <c r="B17" s="99" t="s">
        <v>35</v>
      </c>
      <c r="C17" s="100"/>
      <c r="D17" s="101"/>
      <c r="E17" s="101"/>
      <c r="F17" s="101"/>
      <c r="G17" s="101"/>
      <c r="H17" s="101"/>
      <c r="I17" s="102"/>
      <c r="J17" s="102"/>
      <c r="K17" s="102"/>
      <c r="L17" s="102"/>
      <c r="M17" s="102"/>
      <c r="N17" s="103"/>
    </row>
    <row r="18" spans="1:14" ht="19.5" customHeight="1">
      <c r="A18" s="262"/>
      <c r="B18" s="99" t="s">
        <v>36</v>
      </c>
      <c r="C18" s="100"/>
      <c r="D18" s="101"/>
      <c r="E18" s="101"/>
      <c r="F18" s="101"/>
      <c r="G18" s="101"/>
      <c r="H18" s="101"/>
      <c r="I18" s="102"/>
      <c r="J18" s="111"/>
      <c r="K18" s="102"/>
      <c r="L18" s="102"/>
      <c r="M18" s="102"/>
      <c r="N18" s="103"/>
    </row>
    <row r="19" spans="1:14" ht="19.5" customHeight="1">
      <c r="A19" s="262"/>
      <c r="B19" s="104" t="s">
        <v>27</v>
      </c>
      <c r="C19" s="105"/>
      <c r="D19" s="106"/>
      <c r="E19" s="106"/>
      <c r="F19" s="106"/>
      <c r="G19" s="106"/>
      <c r="H19" s="106"/>
      <c r="I19" s="107"/>
      <c r="J19" s="107"/>
      <c r="K19" s="108"/>
      <c r="L19" s="108" t="s">
        <v>20</v>
      </c>
      <c r="M19" s="108" t="s">
        <v>20</v>
      </c>
      <c r="N19" s="109"/>
    </row>
    <row r="20" spans="1:14" ht="12.75">
      <c r="A20" s="72"/>
      <c r="B20" s="73"/>
      <c r="C20" s="74"/>
      <c r="D20" s="75" t="s">
        <v>0</v>
      </c>
      <c r="E20" s="76" t="s">
        <v>1</v>
      </c>
      <c r="F20" s="76" t="s">
        <v>2</v>
      </c>
      <c r="G20" s="76"/>
      <c r="H20" s="74"/>
      <c r="I20" s="259" t="s">
        <v>3</v>
      </c>
      <c r="J20" s="259"/>
      <c r="K20" s="74" t="s">
        <v>4</v>
      </c>
      <c r="L20" s="260" t="s">
        <v>5</v>
      </c>
      <c r="M20" s="260"/>
      <c r="N20" s="112" t="s">
        <v>6</v>
      </c>
    </row>
    <row r="21" spans="1:14" ht="12.75">
      <c r="A21" s="79"/>
      <c r="B21" s="80" t="s">
        <v>7</v>
      </c>
      <c r="C21" s="81" t="s">
        <v>8</v>
      </c>
      <c r="D21" s="82" t="s">
        <v>9</v>
      </c>
      <c r="E21" s="82" t="s">
        <v>10</v>
      </c>
      <c r="F21" s="82" t="s">
        <v>10</v>
      </c>
      <c r="G21" s="82" t="s">
        <v>11</v>
      </c>
      <c r="H21" s="81" t="s">
        <v>12</v>
      </c>
      <c r="I21" s="83" t="s">
        <v>2</v>
      </c>
      <c r="J21" s="83" t="s">
        <v>13</v>
      </c>
      <c r="K21" s="85" t="s">
        <v>14</v>
      </c>
      <c r="L21" s="82" t="s">
        <v>15</v>
      </c>
      <c r="M21" s="82" t="s">
        <v>16</v>
      </c>
      <c r="N21" s="86" t="s">
        <v>17</v>
      </c>
    </row>
    <row r="22" spans="1:14" ht="19.5" customHeight="1">
      <c r="A22" s="262" t="s">
        <v>37</v>
      </c>
      <c r="B22" s="94" t="s">
        <v>22</v>
      </c>
      <c r="C22" s="105"/>
      <c r="D22" s="96"/>
      <c r="E22" s="96"/>
      <c r="F22" s="96"/>
      <c r="G22" s="96"/>
      <c r="H22" s="96"/>
      <c r="I22" s="97"/>
      <c r="J22" s="97"/>
      <c r="K22" s="96"/>
      <c r="L22" s="96"/>
      <c r="M22" s="96"/>
      <c r="N22" s="110"/>
    </row>
    <row r="23" spans="1:14" ht="19.5" customHeight="1">
      <c r="A23" s="262"/>
      <c r="B23" s="99" t="s">
        <v>35</v>
      </c>
      <c r="C23" s="105"/>
      <c r="D23" s="101"/>
      <c r="E23" s="101"/>
      <c r="F23" s="101"/>
      <c r="G23" s="101"/>
      <c r="H23" s="101"/>
      <c r="I23" s="101"/>
      <c r="J23" s="102"/>
      <c r="K23" s="102"/>
      <c r="L23" s="102"/>
      <c r="M23" s="102"/>
      <c r="N23" s="103"/>
    </row>
    <row r="24" spans="1:14" ht="19.5" customHeight="1">
      <c r="A24" s="262"/>
      <c r="B24" s="99" t="s">
        <v>36</v>
      </c>
      <c r="C24" s="105"/>
      <c r="D24" s="101"/>
      <c r="E24" s="101"/>
      <c r="F24" s="101"/>
      <c r="G24" s="101"/>
      <c r="H24" s="101"/>
      <c r="I24" s="101"/>
      <c r="J24" s="101"/>
      <c r="K24" s="102"/>
      <c r="L24" s="102"/>
      <c r="M24" s="102"/>
      <c r="N24" s="103"/>
    </row>
    <row r="25" spans="1:14" ht="19.5" customHeight="1">
      <c r="A25" s="262"/>
      <c r="B25" s="104" t="s">
        <v>27</v>
      </c>
      <c r="C25" s="105"/>
      <c r="D25" s="106"/>
      <c r="E25" s="106"/>
      <c r="F25" s="106"/>
      <c r="G25" s="106"/>
      <c r="H25" s="106"/>
      <c r="I25" s="107"/>
      <c r="J25" s="107"/>
      <c r="K25" s="108"/>
      <c r="L25" s="108" t="s">
        <v>20</v>
      </c>
      <c r="M25" s="108" t="s">
        <v>20</v>
      </c>
      <c r="N25" s="109"/>
    </row>
    <row r="26" spans="1:14" ht="19.5" customHeight="1">
      <c r="A26" s="261" t="s">
        <v>30</v>
      </c>
      <c r="B26" s="94" t="s">
        <v>22</v>
      </c>
      <c r="C26" s="105"/>
      <c r="D26" s="96"/>
      <c r="E26" s="96"/>
      <c r="F26" s="96"/>
      <c r="G26" s="96"/>
      <c r="H26" s="96"/>
      <c r="I26" s="97"/>
      <c r="J26" s="97"/>
      <c r="K26" s="96"/>
      <c r="L26" s="96"/>
      <c r="M26" s="96"/>
      <c r="N26" s="110"/>
    </row>
    <row r="27" spans="1:14" ht="19.5" customHeight="1">
      <c r="A27" s="261"/>
      <c r="B27" s="99" t="s">
        <v>24</v>
      </c>
      <c r="C27" s="105"/>
      <c r="D27" s="101"/>
      <c r="E27" s="101"/>
      <c r="F27" s="101"/>
      <c r="G27" s="101"/>
      <c r="H27" s="101"/>
      <c r="I27" s="101"/>
      <c r="J27" s="102"/>
      <c r="K27" s="102"/>
      <c r="L27" s="102"/>
      <c r="M27" s="102"/>
      <c r="N27" s="103" t="s">
        <v>81</v>
      </c>
    </row>
    <row r="28" spans="1:14" ht="19.5" customHeight="1">
      <c r="A28" s="261"/>
      <c r="B28" s="99" t="s">
        <v>26</v>
      </c>
      <c r="C28" s="105"/>
      <c r="D28" s="101"/>
      <c r="E28" s="101"/>
      <c r="F28" s="101"/>
      <c r="G28" s="101"/>
      <c r="H28" s="101"/>
      <c r="I28" s="101"/>
      <c r="J28" s="101"/>
      <c r="K28" s="102"/>
      <c r="L28" s="102"/>
      <c r="M28" s="102"/>
      <c r="N28" s="103" t="s">
        <v>111</v>
      </c>
    </row>
    <row r="29" spans="1:14" ht="19.5" customHeight="1">
      <c r="A29" s="261"/>
      <c r="B29" s="104" t="s">
        <v>27</v>
      </c>
      <c r="C29" s="105">
        <v>0.6979166666666666</v>
      </c>
      <c r="D29" s="106">
        <v>63</v>
      </c>
      <c r="E29" s="106">
        <v>6</v>
      </c>
      <c r="F29" s="106">
        <v>23</v>
      </c>
      <c r="G29" s="106">
        <v>138</v>
      </c>
      <c r="H29" s="106"/>
      <c r="I29" s="107"/>
      <c r="J29" s="107"/>
      <c r="K29" s="108">
        <v>102.5</v>
      </c>
      <c r="L29" s="108" t="s">
        <v>20</v>
      </c>
      <c r="M29" s="108" t="s">
        <v>20</v>
      </c>
      <c r="N29" s="109" t="s">
        <v>112</v>
      </c>
    </row>
    <row r="30" spans="1:14" ht="19.5" customHeight="1">
      <c r="A30" s="261" t="s">
        <v>28</v>
      </c>
      <c r="B30" s="94" t="s">
        <v>22</v>
      </c>
      <c r="C30" s="105">
        <v>0.7430555555555555</v>
      </c>
      <c r="D30" s="96">
        <v>58</v>
      </c>
      <c r="E30" s="96">
        <v>6</v>
      </c>
      <c r="F30" s="96">
        <v>4</v>
      </c>
      <c r="G30" s="96">
        <v>34</v>
      </c>
      <c r="H30" s="96"/>
      <c r="I30" s="97"/>
      <c r="J30" s="97"/>
      <c r="K30" s="96"/>
      <c r="L30" s="96">
        <v>3.9</v>
      </c>
      <c r="M30" s="96">
        <v>4.1</v>
      </c>
      <c r="N30" s="110" t="s">
        <v>113</v>
      </c>
    </row>
    <row r="31" spans="1:14" ht="19.5" customHeight="1">
      <c r="A31" s="261"/>
      <c r="B31" s="99" t="s">
        <v>24</v>
      </c>
      <c r="C31" s="105">
        <v>0.74375</v>
      </c>
      <c r="D31" s="101"/>
      <c r="E31" s="101"/>
      <c r="F31" s="206">
        <f>F30</f>
        <v>4</v>
      </c>
      <c r="G31" s="101"/>
      <c r="H31" s="101"/>
      <c r="I31" s="101">
        <v>40</v>
      </c>
      <c r="J31" s="102"/>
      <c r="K31" s="102"/>
      <c r="L31" s="102"/>
      <c r="M31" s="102"/>
      <c r="N31" s="103"/>
    </row>
    <row r="32" spans="1:14" ht="19.5" customHeight="1">
      <c r="A32" s="261"/>
      <c r="B32" s="99" t="s">
        <v>26</v>
      </c>
      <c r="C32" s="105">
        <v>0.7583333333333333</v>
      </c>
      <c r="D32" s="101">
        <v>58</v>
      </c>
      <c r="E32" s="101">
        <v>6</v>
      </c>
      <c r="F32" s="101">
        <v>9</v>
      </c>
      <c r="G32" s="101">
        <v>93</v>
      </c>
      <c r="H32" s="101"/>
      <c r="I32" s="101">
        <v>89</v>
      </c>
      <c r="J32" s="101">
        <v>10.6</v>
      </c>
      <c r="K32" s="102"/>
      <c r="L32" s="102"/>
      <c r="M32" s="102"/>
      <c r="N32" s="103"/>
    </row>
    <row r="33" spans="1:14" ht="19.5" customHeight="1">
      <c r="A33" s="261"/>
      <c r="B33" s="104" t="s">
        <v>27</v>
      </c>
      <c r="C33" s="105">
        <v>0.7583333333333333</v>
      </c>
      <c r="D33" s="106"/>
      <c r="E33" s="106"/>
      <c r="F33" s="106"/>
      <c r="G33" s="106"/>
      <c r="H33" s="106"/>
      <c r="I33" s="107"/>
      <c r="J33" s="107"/>
      <c r="K33" s="108"/>
      <c r="L33" s="108" t="s">
        <v>20</v>
      </c>
      <c r="M33" s="108" t="s">
        <v>20</v>
      </c>
      <c r="N33" s="109"/>
    </row>
    <row r="34" spans="1:14" ht="19.5" customHeight="1">
      <c r="A34" s="261" t="s">
        <v>21</v>
      </c>
      <c r="B34" s="94" t="s">
        <v>22</v>
      </c>
      <c r="C34" s="105"/>
      <c r="D34" s="96"/>
      <c r="E34" s="96"/>
      <c r="F34" s="96"/>
      <c r="G34" s="96"/>
      <c r="H34" s="96"/>
      <c r="I34" s="97"/>
      <c r="J34" s="97"/>
      <c r="K34" s="96"/>
      <c r="L34" s="96"/>
      <c r="M34" s="96"/>
      <c r="N34" s="110" t="s">
        <v>114</v>
      </c>
    </row>
    <row r="35" spans="1:14" ht="19.5" customHeight="1">
      <c r="A35" s="261"/>
      <c r="B35" s="99" t="s">
        <v>24</v>
      </c>
      <c r="C35" s="105"/>
      <c r="D35" s="101"/>
      <c r="E35" s="101"/>
      <c r="F35" s="101"/>
      <c r="G35" s="101"/>
      <c r="H35" s="101"/>
      <c r="I35" s="101"/>
      <c r="J35" s="102"/>
      <c r="K35" s="102"/>
      <c r="L35" s="102"/>
      <c r="M35" s="102"/>
      <c r="N35" s="103" t="s">
        <v>115</v>
      </c>
    </row>
    <row r="36" spans="1:14" ht="19.5" customHeight="1">
      <c r="A36" s="261"/>
      <c r="B36" s="99" t="s">
        <v>26</v>
      </c>
      <c r="C36" s="105"/>
      <c r="D36" s="101"/>
      <c r="E36" s="101"/>
      <c r="F36" s="101"/>
      <c r="G36" s="101"/>
      <c r="H36" s="101"/>
      <c r="I36" s="101"/>
      <c r="J36" s="101"/>
      <c r="K36" s="102"/>
      <c r="L36" s="102"/>
      <c r="M36" s="102"/>
      <c r="N36" s="103" t="s">
        <v>116</v>
      </c>
    </row>
    <row r="37" spans="1:14" ht="19.5" customHeight="1">
      <c r="A37" s="261"/>
      <c r="B37" s="104" t="s">
        <v>27</v>
      </c>
      <c r="C37" s="105"/>
      <c r="D37" s="106"/>
      <c r="E37" s="106"/>
      <c r="F37" s="106"/>
      <c r="G37" s="106"/>
      <c r="H37" s="106"/>
      <c r="I37" s="107"/>
      <c r="J37" s="107"/>
      <c r="K37" s="108"/>
      <c r="L37" s="108" t="s">
        <v>20</v>
      </c>
      <c r="M37" s="108" t="s">
        <v>20</v>
      </c>
      <c r="N37" s="109"/>
    </row>
    <row r="38" spans="1:14" ht="19.5" customHeight="1">
      <c r="A38" s="113"/>
      <c r="B38" s="88" t="s">
        <v>19</v>
      </c>
      <c r="C38" s="105">
        <v>0.8270833333333334</v>
      </c>
      <c r="D38" s="90">
        <v>62</v>
      </c>
      <c r="E38" s="90">
        <v>6</v>
      </c>
      <c r="F38" s="90">
        <v>2</v>
      </c>
      <c r="G38" s="90">
        <v>18</v>
      </c>
      <c r="H38" s="90"/>
      <c r="I38" s="91"/>
      <c r="J38" s="91"/>
      <c r="K38" s="92">
        <v>204.2</v>
      </c>
      <c r="L38" s="92">
        <v>4</v>
      </c>
      <c r="M38" s="92">
        <v>4.1</v>
      </c>
      <c r="N38" s="93"/>
    </row>
  </sheetData>
  <sheetProtection selectLockedCells="1" selectUnlockedCells="1"/>
  <mergeCells count="12">
    <mergeCell ref="A22:A25"/>
    <mergeCell ref="A26:A29"/>
    <mergeCell ref="A30:A33"/>
    <mergeCell ref="A34:A37"/>
    <mergeCell ref="A12:A15"/>
    <mergeCell ref="A16:A19"/>
    <mergeCell ref="I20:J20"/>
    <mergeCell ref="L20:M20"/>
    <mergeCell ref="I1:J1"/>
    <mergeCell ref="L1:M1"/>
    <mergeCell ref="A4:A7"/>
    <mergeCell ref="A8:A11"/>
  </mergeCells>
  <printOptions/>
  <pageMargins left="0.7" right="0.4" top="0.75" bottom="0.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Saxton</dc:creator>
  <cp:keywords/>
  <dc:description/>
  <cp:lastModifiedBy>Cathy Saxton</cp:lastModifiedBy>
  <cp:lastPrinted>2012-07-10T23:45:55Z</cp:lastPrinted>
  <dcterms:created xsi:type="dcterms:W3CDTF">2012-06-20T15:17:00Z</dcterms:created>
  <dcterms:modified xsi:type="dcterms:W3CDTF">2012-07-21T03:06:52Z</dcterms:modified>
  <cp:category/>
  <cp:version/>
  <cp:contentType/>
  <cp:contentStatus/>
</cp:coreProperties>
</file>